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userName="s273689" algorithmName="SHA-512" hashValue="JqmAEZbwkEUrO8n31ByQA9rcCvGToPfFYXbNIotmh6NUYuPW89GkUtr9vSGLs++5PCS88+3plfQBbEbbFCqnVA==" saltValue="ZV+jI5N4ZWvnxwKI9fB0Sw==" spinCount="100000"/>
  <workbookPr filterPrivacy="1" showInkAnnotation="0" codeName="ThisWorkbook" defaultThemeVersion="124226"/>
  <xr:revisionPtr revIDLastSave="0" documentId="8_{693987ED-D168-4627-8F94-F997FBF4B1FE}" xr6:coauthVersionLast="47" xr6:coauthVersionMax="47" xr10:uidLastSave="{00000000-0000-0000-0000-000000000000}"/>
  <bookViews>
    <workbookView xWindow="-120" yWindow="-120" windowWidth="29040" windowHeight="15720" tabRatio="1000" xr2:uid="{00000000-000D-0000-FFFF-FFFF00000000}"/>
  </bookViews>
  <sheets>
    <sheet name="TCOS" sheetId="2" r:id="rId1"/>
    <sheet name="WS A - RB Support" sheetId="35" r:id="rId2"/>
    <sheet name="WS B ADIT &amp; ITC" sheetId="5" r:id="rId3"/>
    <sheet name="WS B-1 - Actual Stmt. AF" sheetId="38" r:id="rId4"/>
    <sheet name="WS B-2 - Actual Stmt. AG" sheetId="39" r:id="rId5"/>
    <sheet name="WS B-3" sheetId="50" r:id="rId6"/>
    <sheet name="WS B-3-A" sheetId="52" r:id="rId7"/>
    <sheet name="WS C  - Working Capital" sheetId="6" r:id="rId8"/>
    <sheet name="WS D IPP Credits" sheetId="7" r:id="rId9"/>
    <sheet name="WS E Rev Credits" sheetId="8" r:id="rId10"/>
    <sheet name="WS F Misc Exp" sheetId="9" r:id="rId11"/>
    <sheet name="WS G  State Tax Rate" sheetId="10" r:id="rId12"/>
    <sheet name="WS H Other Taxes" sheetId="11" r:id="rId13"/>
    <sheet name="WS H-1-Detail of Tax Amts" sheetId="30" r:id="rId14"/>
    <sheet name="WS I Reserved" sheetId="12" r:id="rId15"/>
    <sheet name="WS J PROJECTED RTEP RR" sheetId="20" state="hidden" r:id="rId16"/>
    <sheet name="WS K TRUE-UP RTEP RR" sheetId="13" r:id="rId17"/>
    <sheet name="WS L Reserved" sheetId="14" r:id="rId18"/>
    <sheet name="WS M - Cost of Capital" sheetId="41" r:id="rId19"/>
    <sheet name="WS N - Sale of Plant Held" sheetId="21" r:id="rId20"/>
    <sheet name="WS O - PBOP" sheetId="48" r:id="rId21"/>
    <sheet name="APCo - WS P Dep. Rates" sheetId="31" r:id="rId22"/>
    <sheet name="IMC - WS P Dep. Rates" sheetId="51" r:id="rId23"/>
    <sheet name="KGP - WS P Dep. Rates" sheetId="43" r:id="rId24"/>
    <sheet name="KPC - WS P Dep. Rates" sheetId="44" r:id="rId25"/>
    <sheet name="OPC - WS P Dep. Rates" sheetId="45" r:id="rId26"/>
    <sheet name="WPC-WS P Dep. Rates" sheetId="46" r:id="rId27"/>
    <sheet name="KPCO WS Q Interest" sheetId="32" r:id="rId28"/>
    <sheet name="KPCO WS Q Interest (2)" sheetId="49" r:id="rId29"/>
  </sheets>
  <definedNames>
    <definedName name="_NPh1" localSheetId="22">#REF!</definedName>
    <definedName name="_NPh1" localSheetId="6">#REF!</definedName>
    <definedName name="_NPh1">#REF!</definedName>
    <definedName name="ActExcessAmt" localSheetId="22">#REF!</definedName>
    <definedName name="ActExcessAmt" localSheetId="6">#REF!</definedName>
    <definedName name="ActExcessAmt">#REF!</definedName>
    <definedName name="ActGrTaxAmt" localSheetId="6">#REF!</definedName>
    <definedName name="ActGrTaxAmt">#REF!</definedName>
    <definedName name="ActKWHExcess" localSheetId="6">#REF!</definedName>
    <definedName name="ActKWHExcess">#REF!</definedName>
    <definedName name="ActKWHNotUsed" localSheetId="6">#REF!</definedName>
    <definedName name="ActKWHNotUsed">#REF!</definedName>
    <definedName name="ActKWHRes" localSheetId="6">#REF!</definedName>
    <definedName name="ActKWHRes">#REF!</definedName>
    <definedName name="ActKWHSubTot" localSheetId="6">#REF!</definedName>
    <definedName name="ActKWHSubTot">#REF!</definedName>
    <definedName name="ActKWHTot" localSheetId="6">#REF!</definedName>
    <definedName name="ActKWHTot">#REF!</definedName>
    <definedName name="ActNotUsedAmt" localSheetId="6">#REF!</definedName>
    <definedName name="ActNotUsedAmt">#REF!</definedName>
    <definedName name="ActResAmt" localSheetId="6">#REF!</definedName>
    <definedName name="ActResAmt">#REF!</definedName>
    <definedName name="ActSubTotAmt" localSheetId="6">#REF!</definedName>
    <definedName name="ActSubTotAmt">#REF!</definedName>
    <definedName name="ActTotAmt" localSheetId="6">#REF!</definedName>
    <definedName name="ActTotAmt">#REF!</definedName>
    <definedName name="AdminChg" localSheetId="6">#REF!</definedName>
    <definedName name="AdminChg">#REF!</definedName>
    <definedName name="AEP" localSheetId="6">#REF!</definedName>
    <definedName name="AEP">#REF!</definedName>
    <definedName name="allocator" localSheetId="6">#REF!</definedName>
    <definedName name="allocator">#REF!</definedName>
    <definedName name="allocators" localSheetId="6">#REF!</definedName>
    <definedName name="allocators">#REF!</definedName>
    <definedName name="allocatorsSWP" localSheetId="6">#REF!</definedName>
    <definedName name="allocatorsSWP">#REF!</definedName>
    <definedName name="allocatorSWP1">#REF!</definedName>
    <definedName name="APCO" localSheetId="6">#REF!</definedName>
    <definedName name="APCO">#REF!</definedName>
    <definedName name="APCo_Proj_Allocators" localSheetId="6">#REF!</definedName>
    <definedName name="APCo_Proj_Allocators">#REF!</definedName>
    <definedName name="APCo_TU_Allocators" localSheetId="6">#REF!</definedName>
    <definedName name="APCo_TU_Allocators">#REF!</definedName>
    <definedName name="AVRGPWRFCTR" localSheetId="6">#REF!</definedName>
    <definedName name="AVRGPWRFCTR">#REF!</definedName>
    <definedName name="B1HRSCRMO" localSheetId="6">#REF!</definedName>
    <definedName name="B1HRSCRMO">#REF!</definedName>
    <definedName name="B2HRSCRMO" localSheetId="6">#REF!</definedName>
    <definedName name="B2HRSCRMO">#REF!</definedName>
    <definedName name="BASERATECHG" localSheetId="6">#REF!</definedName>
    <definedName name="BASERATECHG">#REF!</definedName>
    <definedName name="BILLKWH" localSheetId="6">#REF!</definedName>
    <definedName name="BILLKWH">#REF!</definedName>
    <definedName name="BIRPCCHG" localSheetId="6">#REF!</definedName>
    <definedName name="BIRPCCHG">#REF!</definedName>
    <definedName name="BIRPDCHG1" localSheetId="6">#REF!</definedName>
    <definedName name="BIRPDCHG1">#REF!</definedName>
    <definedName name="BIRPDCHG2" localSheetId="6">#REF!</definedName>
    <definedName name="BIRPDCHG2">#REF!</definedName>
    <definedName name="BIRPECHG1" localSheetId="6">#REF!</definedName>
    <definedName name="BIRPECHG1">#REF!</definedName>
    <definedName name="BIRPECHGB1" localSheetId="6">#REF!</definedName>
    <definedName name="BIRPECHGB1">#REF!</definedName>
    <definedName name="BIRPECHGB2" localSheetId="6">#REF!</definedName>
    <definedName name="BIRPECHGB2">#REF!</definedName>
    <definedName name="BIRPECHGB3" localSheetId="6">#REF!</definedName>
    <definedName name="BIRPECHGB3">#REF!</definedName>
    <definedName name="BIRPECHGW" localSheetId="6">#REF!</definedName>
    <definedName name="BIRPECHGW">#REF!</definedName>
    <definedName name="BIRPKWH1" localSheetId="6">#REF!</definedName>
    <definedName name="BIRPKWH1">#REF!</definedName>
    <definedName name="BIRPKWHB1" localSheetId="6">#REF!</definedName>
    <definedName name="BIRPKWHB1">#REF!</definedName>
    <definedName name="BIRPKWHB2" localSheetId="6">#REF!</definedName>
    <definedName name="BIRPKWHB2">#REF!</definedName>
    <definedName name="BIRPKWHB3" localSheetId="6">#REF!</definedName>
    <definedName name="BIRPKWHB3">#REF!</definedName>
    <definedName name="BIRPKWHWH" localSheetId="6">#REF!</definedName>
    <definedName name="BIRPKWHWH">#REF!</definedName>
    <definedName name="BIRPMECHG1" localSheetId="6">#REF!</definedName>
    <definedName name="BIRPMECHG1">#REF!</definedName>
    <definedName name="BIRPOFKWH" localSheetId="6">#REF!</definedName>
    <definedName name="BIRPOFKWH">#REF!</definedName>
    <definedName name="BIRPOPKWH" localSheetId="6">#REF!</definedName>
    <definedName name="BIRPOPKWH">#REF!</definedName>
    <definedName name="BIRPP1EC" localSheetId="6">#REF!</definedName>
    <definedName name="BIRPP1EC">#REF!</definedName>
    <definedName name="BIRPP2EC" localSheetId="6">#REF!</definedName>
    <definedName name="BIRPP2EC">#REF!</definedName>
    <definedName name="BIRPP3EC" localSheetId="6">#REF!</definedName>
    <definedName name="BIRPP3EC">#REF!</definedName>
    <definedName name="BIRPP4EC" localSheetId="6">#REF!</definedName>
    <definedName name="BIRPP4EC">#REF!</definedName>
    <definedName name="BIRPP5EC" localSheetId="6">#REF!</definedName>
    <definedName name="BIRPP5EC">#REF!</definedName>
    <definedName name="BIRPPDMDCHG" localSheetId="6">#REF!</definedName>
    <definedName name="BIRPPDMDCHG">#REF!</definedName>
    <definedName name="BIRPRCHG" localSheetId="6">#REF!</definedName>
    <definedName name="BIRPRCHG">#REF!</definedName>
    <definedName name="BIRPXKVA" localSheetId="6">#REF!</definedName>
    <definedName name="BIRPXKVA">#REF!</definedName>
    <definedName name="BIRPXKVAPCT" localSheetId="6">#REF!</definedName>
    <definedName name="BIRPXKVAPCT">#REF!</definedName>
    <definedName name="BIRPXOFKW" localSheetId="6">#REF!</definedName>
    <definedName name="BIRPXOFKW">#REF!</definedName>
    <definedName name="BKUPKWH" localSheetId="6">#REF!</definedName>
    <definedName name="BKUPKWH">#REF!</definedName>
    <definedName name="BLDAMNT" localSheetId="6">#REF!</definedName>
    <definedName name="BLDAMNT">#REF!</definedName>
    <definedName name="BLDDMND" localSheetId="6">#REF!</definedName>
    <definedName name="BLDDMND">#REF!</definedName>
    <definedName name="BLDKWH" localSheetId="6">#REF!</definedName>
    <definedName name="BLDKWH">#REF!</definedName>
    <definedName name="BLDOPDMND" localSheetId="6">#REF!</definedName>
    <definedName name="BLDOPDMND">#REF!</definedName>
    <definedName name="BLNGKWB4EDR" localSheetId="6">#REF!</definedName>
    <definedName name="BLNGKWB4EDR">#REF!</definedName>
    <definedName name="BLNGKWH" localSheetId="6">#REF!</definedName>
    <definedName name="BLNGKWH">#REF!</definedName>
    <definedName name="BLNGKWHTTL" localSheetId="6">#REF!</definedName>
    <definedName name="BLNGKWHTTL">#REF!</definedName>
    <definedName name="BndBlkKwh1" localSheetId="6">#REF!</definedName>
    <definedName name="BndBlkKwh1">#REF!</definedName>
    <definedName name="BndBlkKwh2" localSheetId="6">#REF!</definedName>
    <definedName name="BndBlkKwh2">#REF!</definedName>
    <definedName name="BndBlkKwh3" localSheetId="6">#REF!</definedName>
    <definedName name="BndBlkKwh3">#REF!</definedName>
    <definedName name="BndBlkKwhChg1" localSheetId="6">#REF!</definedName>
    <definedName name="BndBlkKwhChg1">#REF!</definedName>
    <definedName name="BndBlkKwhChg2" localSheetId="6">#REF!</definedName>
    <definedName name="BndBlkKwhChg2">#REF!</definedName>
    <definedName name="BndBlkKwhChg3" localSheetId="6">#REF!</definedName>
    <definedName name="BndBlkKwhChg3">#REF!</definedName>
    <definedName name="BndBlkKwhChgT" localSheetId="6">#REF!</definedName>
    <definedName name="BndBlkKwhChgT">#REF!</definedName>
    <definedName name="BndBlkKwhChgW" localSheetId="6">#REF!</definedName>
    <definedName name="BndBlkKwhChgW">#REF!</definedName>
    <definedName name="BndBlkKwhT" localSheetId="6">#REF!</definedName>
    <definedName name="BndBlkKwhT">#REF!</definedName>
    <definedName name="BndBlkKwhW" localSheetId="6">#REF!</definedName>
    <definedName name="BndBlkKwhW">#REF!</definedName>
    <definedName name="BndCustChg" localSheetId="6">#REF!</definedName>
    <definedName name="BndCustChg">#REF!</definedName>
    <definedName name="BndDmdChg1" localSheetId="6">#REF!</definedName>
    <definedName name="BndDmdChg1">#REF!</definedName>
    <definedName name="BndDmdChg2" localSheetId="6">#REF!</definedName>
    <definedName name="BndDmdChg2">#REF!</definedName>
    <definedName name="BndExcsKvaPct" localSheetId="6">#REF!</definedName>
    <definedName name="BndExcsKvaPct">#REF!</definedName>
    <definedName name="BndMEChg" localSheetId="6">#REF!</definedName>
    <definedName name="BndMEChg">#REF!</definedName>
    <definedName name="BndOffPkKwh" localSheetId="6">#REF!</definedName>
    <definedName name="BndOffPkKwh">#REF!</definedName>
    <definedName name="BndOnPkKwh" localSheetId="6">#REF!</definedName>
    <definedName name="BndOnPkKwh">#REF!</definedName>
    <definedName name="BndPL1Chg" localSheetId="6">#REF!</definedName>
    <definedName name="BndPL1Chg">#REF!</definedName>
    <definedName name="BndPL2Chg" localSheetId="6">#REF!</definedName>
    <definedName name="BndPL2Chg">#REF!</definedName>
    <definedName name="BndPL3Chg" localSheetId="6">#REF!</definedName>
    <definedName name="BndPL3Chg">#REF!</definedName>
    <definedName name="BndPL4Chg" localSheetId="6">#REF!</definedName>
    <definedName name="BndPL4Chg">#REF!</definedName>
    <definedName name="BndPL5Chg" localSheetId="6">#REF!</definedName>
    <definedName name="BndPL5Chg">#REF!</definedName>
    <definedName name="BndReactiveChg" localSheetId="6">#REF!</definedName>
    <definedName name="BndReactiveChg">#REF!</definedName>
    <definedName name="BndXOfpKvaChg" localSheetId="6">#REF!</definedName>
    <definedName name="BndXOfpKvaChg">#REF!</definedName>
    <definedName name="BndXOfpKwChg" localSheetId="6">#REF!</definedName>
    <definedName name="BndXOfpKwChg">#REF!</definedName>
    <definedName name="BTTrueUp" localSheetId="6">#REF!</definedName>
    <definedName name="BTTrueUp">#REF!</definedName>
    <definedName name="BUNCCHG" localSheetId="6">#REF!</definedName>
    <definedName name="BUNCCHG">#REF!</definedName>
    <definedName name="BUNDCHG1" localSheetId="6">#REF!</definedName>
    <definedName name="BUNDCHG1">#REF!</definedName>
    <definedName name="BUNDCHG2" localSheetId="6">#REF!</definedName>
    <definedName name="BUNDCHG2">#REF!</definedName>
    <definedName name="BUNECHG1" localSheetId="6">#REF!</definedName>
    <definedName name="BUNECHG1">#REF!</definedName>
    <definedName name="BUNECHGB1" localSheetId="6">#REF!</definedName>
    <definedName name="BUNECHGB1">#REF!</definedName>
    <definedName name="BUNECHGB2" localSheetId="6">#REF!</definedName>
    <definedName name="BUNECHGB2">#REF!</definedName>
    <definedName name="BUNECHGB3" localSheetId="6">#REF!</definedName>
    <definedName name="BUNECHGB3">#REF!</definedName>
    <definedName name="BUNECHGW" localSheetId="6">#REF!</definedName>
    <definedName name="BUNECHGW">#REF!</definedName>
    <definedName name="BUNKWH1" localSheetId="6">#REF!</definedName>
    <definedName name="BUNKWH1">#REF!</definedName>
    <definedName name="BUNKWHB1" localSheetId="6">#REF!</definedName>
    <definedName name="BUNKWHB1">#REF!</definedName>
    <definedName name="BUNKWHB2" localSheetId="6">#REF!</definedName>
    <definedName name="BUNKWHB2">#REF!</definedName>
    <definedName name="BUNKWHB3" localSheetId="6">#REF!</definedName>
    <definedName name="BUNKWHB3">#REF!</definedName>
    <definedName name="BUNKWHWH" localSheetId="6">#REF!</definedName>
    <definedName name="BUNKWHWH">#REF!</definedName>
    <definedName name="BUNMECHG1" localSheetId="6">#REF!</definedName>
    <definedName name="BUNMECHG1">#REF!</definedName>
    <definedName name="BUNOFKWH" localSheetId="6">#REF!</definedName>
    <definedName name="BUNOFKWH">#REF!</definedName>
    <definedName name="BUNOPKWH" localSheetId="6">#REF!</definedName>
    <definedName name="BUNOPKWH">#REF!</definedName>
    <definedName name="BUNP1EC" localSheetId="6">#REF!</definedName>
    <definedName name="BUNP1EC">#REF!</definedName>
    <definedName name="BUNP2EC" localSheetId="6">#REF!</definedName>
    <definedName name="BUNP2EC">#REF!</definedName>
    <definedName name="BUNP3EC" localSheetId="6">#REF!</definedName>
    <definedName name="BUNP3EC">#REF!</definedName>
    <definedName name="BUNP4EC" localSheetId="6">#REF!</definedName>
    <definedName name="BUNP4EC">#REF!</definedName>
    <definedName name="BUNP5EC" localSheetId="6">#REF!</definedName>
    <definedName name="BUNP5EC">#REF!</definedName>
    <definedName name="BUNPDMDCHG" localSheetId="6">#REF!</definedName>
    <definedName name="BUNPDMDCHG">#REF!</definedName>
    <definedName name="BUNRCHG" localSheetId="6">#REF!</definedName>
    <definedName name="BUNRCHG">#REF!</definedName>
    <definedName name="BUNXKVA" localSheetId="6">#REF!</definedName>
    <definedName name="BUNXKVA">#REF!</definedName>
    <definedName name="BUNXKVAPCT" localSheetId="6">#REF!</definedName>
    <definedName name="BUNXKVAPCT">#REF!</definedName>
    <definedName name="BUNXOFKW" localSheetId="6">#REF!</definedName>
    <definedName name="BUNXOFKW">#REF!</definedName>
    <definedName name="CALCPFCC" localSheetId="6">#REF!</definedName>
    <definedName name="CALCPFCC">#REF!</definedName>
    <definedName name="CAPDEFA" localSheetId="6">#REF!</definedName>
    <definedName name="CAPDEFA">#REF!</definedName>
    <definedName name="CBLKWH" localSheetId="6">#REF!</definedName>
    <definedName name="CBLKWH">#REF!</definedName>
    <definedName name="City" localSheetId="6">#REF!</definedName>
    <definedName name="City">#REF!</definedName>
    <definedName name="CNTRCTDMND" localSheetId="6">#REF!</definedName>
    <definedName name="CNTRCTDMND">#REF!</definedName>
    <definedName name="CoPhoneLine" localSheetId="6">#REF!</definedName>
    <definedName name="CoPhoneLine">#REF!</definedName>
    <definedName name="CRMOINTRPTHRS" localSheetId="6">#REF!</definedName>
    <definedName name="CRMOINTRPTHRS">#REF!</definedName>
    <definedName name="CRNTMOBTKWH" localSheetId="6">#REF!</definedName>
    <definedName name="CRNTMOBTKWH">#REF!</definedName>
    <definedName name="CRNTMOFPKHRS" localSheetId="6">#REF!</definedName>
    <definedName name="CRNTMOFPKHRS">#REF!</definedName>
    <definedName name="CRNTMONPKHRS" localSheetId="6">#REF!</definedName>
    <definedName name="CRNTMONPKHRS">#REF!</definedName>
    <definedName name="CRTLBLONPKHRS" localSheetId="6">#REF!</definedName>
    <definedName name="CRTLBLONPKHRS">#REF!</definedName>
    <definedName name="CRTLBLONPKKWH" localSheetId="6">#REF!</definedName>
    <definedName name="CRTLBLONPKKWH">#REF!</definedName>
    <definedName name="CSTMRCHG" localSheetId="6">#REF!</definedName>
    <definedName name="CSTMRCHG">#REF!</definedName>
    <definedName name="CurMoAddr1" localSheetId="6">#REF!</definedName>
    <definedName name="CurMoAddr1">#REF!</definedName>
    <definedName name="CurMoAddr2" localSheetId="6">#REF!</definedName>
    <definedName name="CurMoAddr2">#REF!</definedName>
    <definedName name="CurMoBTDetail" localSheetId="6">#REF!</definedName>
    <definedName name="CurMoBTDetail">#REF!</definedName>
    <definedName name="CurMoBuyThrgh_Sheet" localSheetId="6">#REF!</definedName>
    <definedName name="CurMoBuyThrgh_Sheet">#REF!</definedName>
    <definedName name="CurMoCityStZip" localSheetId="6">#REF!</definedName>
    <definedName name="CurMoCityStZip">#REF!</definedName>
    <definedName name="CurMoCustName" localSheetId="6">#REF!</definedName>
    <definedName name="CurMoCustName">#REF!</definedName>
    <definedName name="CurMoExcessAmt" localSheetId="6">#REF!</definedName>
    <definedName name="CurMoExcessAmt">#REF!</definedName>
    <definedName name="CurMoGrTaxAmt" localSheetId="6">#REF!</definedName>
    <definedName name="CurMoGrTaxAmt">#REF!</definedName>
    <definedName name="CurMoKWHExcess" localSheetId="6">#REF!</definedName>
    <definedName name="CurMoKWHExcess">#REF!</definedName>
    <definedName name="CurMoKWHNotUsed" localSheetId="6">#REF!</definedName>
    <definedName name="CurMoKWHNotUsed">#REF!</definedName>
    <definedName name="CurMoKWHRes" localSheetId="6">#REF!</definedName>
    <definedName name="CurMoKWHRes">#REF!</definedName>
    <definedName name="CurMoKWHSubTot" localSheetId="6">#REF!</definedName>
    <definedName name="CurMoKWHSubTot">#REF!</definedName>
    <definedName name="CurMoKWHTot" localSheetId="6">#REF!</definedName>
    <definedName name="CurMoKWHTot">#REF!</definedName>
    <definedName name="CurMoMtrMult" localSheetId="6">#REF!</definedName>
    <definedName name="CurMoMtrMult">#REF!</definedName>
    <definedName name="CurMoNotUsedAmt" localSheetId="6">#REF!</definedName>
    <definedName name="CurMoNotUsedAmt">#REF!</definedName>
    <definedName name="CurMoResAmt" localSheetId="6">#REF!</definedName>
    <definedName name="CurMoResAmt">#REF!</definedName>
    <definedName name="CurMoSubTotAmt" localSheetId="6">#REF!</definedName>
    <definedName name="CurMoSubTotAmt">#REF!</definedName>
    <definedName name="CurMoTotAmt" localSheetId="6">#REF!</definedName>
    <definedName name="CurMoTotAmt">#REF!</definedName>
    <definedName name="CurrYear" localSheetId="6">#REF!</definedName>
    <definedName name="CurrYear">#REF!</definedName>
    <definedName name="CustAddr1" localSheetId="6">#REF!</definedName>
    <definedName name="CustAddr1">#REF!</definedName>
    <definedName name="CustAddr2" localSheetId="6">#REF!</definedName>
    <definedName name="CustAddr2">#REF!</definedName>
    <definedName name="CustCityStZip" localSheetId="6">#REF!</definedName>
    <definedName name="CustCityStZip">#REF!</definedName>
    <definedName name="CustName2" localSheetId="6">#REF!</definedName>
    <definedName name="CustName2">#REF!</definedName>
    <definedName name="CustTable" localSheetId="6">#REF!</definedName>
    <definedName name="CustTable">#REF!</definedName>
    <definedName name="DetailTotCbl" localSheetId="6">#REF!</definedName>
    <definedName name="DetailTotCbl">#REF!</definedName>
    <definedName name="DetailTotChg" localSheetId="6">#REF!</definedName>
    <definedName name="DetailTotChg">#REF!</definedName>
    <definedName name="DetailTotKw" localSheetId="6">#REF!</definedName>
    <definedName name="DetailTotKw">#REF!</definedName>
    <definedName name="DetailTotMargin" localSheetId="6">#REF!</definedName>
    <definedName name="DetailTotMargin">#REF!</definedName>
    <definedName name="DIRPCCHG" localSheetId="6">#REF!</definedName>
    <definedName name="DIRPCCHG">#REF!</definedName>
    <definedName name="DIRPDCHG1" localSheetId="6">#REF!</definedName>
    <definedName name="DIRPDCHG1">#REF!</definedName>
    <definedName name="DIRPDCHG2" localSheetId="6">#REF!</definedName>
    <definedName name="DIRPDCHG2">#REF!</definedName>
    <definedName name="DIRPECHG1" localSheetId="6">#REF!</definedName>
    <definedName name="DIRPECHG1">#REF!</definedName>
    <definedName name="DIRPECHGB1" localSheetId="6">#REF!</definedName>
    <definedName name="DIRPECHGB1">#REF!</definedName>
    <definedName name="DIRPECHGB2" localSheetId="6">#REF!</definedName>
    <definedName name="DIRPECHGB2">#REF!</definedName>
    <definedName name="DIRPECHGB3" localSheetId="6">#REF!</definedName>
    <definedName name="DIRPECHGB3">#REF!</definedName>
    <definedName name="DIRPMECHG1" localSheetId="6">#REF!</definedName>
    <definedName name="DIRPMECHG1">#REF!</definedName>
    <definedName name="DIRPMINDC" localSheetId="6">#REF!</definedName>
    <definedName name="DIRPMINDC">#REF!</definedName>
    <definedName name="DIRPMINEC" localSheetId="6">#REF!</definedName>
    <definedName name="DIRPMINEC">#REF!</definedName>
    <definedName name="DIRPOFKVA" localSheetId="6">#REF!</definedName>
    <definedName name="DIRPOFKVA">#REF!</definedName>
    <definedName name="DIRPOFKW" localSheetId="6">#REF!</definedName>
    <definedName name="DIRPOFKW">#REF!</definedName>
    <definedName name="DIRPOFKWH" localSheetId="6">#REF!</definedName>
    <definedName name="DIRPOFKWH">#REF!</definedName>
    <definedName name="DIRPOPKWH" localSheetId="6">#REF!</definedName>
    <definedName name="DIRPOPKWH">#REF!</definedName>
    <definedName name="DIRPP1EC" localSheetId="6">#REF!</definedName>
    <definedName name="DIRPP1EC">#REF!</definedName>
    <definedName name="DIRPP2EC" localSheetId="6">#REF!</definedName>
    <definedName name="DIRPP2EC">#REF!</definedName>
    <definedName name="DIRPP3EC" localSheetId="6">#REF!</definedName>
    <definedName name="DIRPP3EC">#REF!</definedName>
    <definedName name="DIRPP4EC" localSheetId="6">#REF!</definedName>
    <definedName name="DIRPP4EC">#REF!</definedName>
    <definedName name="DIRPP5EC" localSheetId="6">#REF!</definedName>
    <definedName name="DIRPP5EC">#REF!</definedName>
    <definedName name="DIRPRCHG" localSheetId="6">#REF!</definedName>
    <definedName name="DIRPRCHG">#REF!</definedName>
    <definedName name="DisBlkKwhChg1" localSheetId="6">#REF!</definedName>
    <definedName name="DisBlkKwhChg1">#REF!</definedName>
    <definedName name="DisBlkKwhChg2" localSheetId="6">#REF!</definedName>
    <definedName name="DisBlkKwhChg2">#REF!</definedName>
    <definedName name="DisBlkKwhChg3" localSheetId="6">#REF!</definedName>
    <definedName name="DisBlkKwhChg3">#REF!</definedName>
    <definedName name="DisBlkKwhChgT" localSheetId="6">#REF!</definedName>
    <definedName name="DisBlkKwhChgT">#REF!</definedName>
    <definedName name="DisCustChg" localSheetId="6">#REF!</definedName>
    <definedName name="DisCustChg">#REF!</definedName>
    <definedName name="DisDmdChg1" localSheetId="6">#REF!</definedName>
    <definedName name="DisDmdChg1">#REF!</definedName>
    <definedName name="DisDmdChg2" localSheetId="6">#REF!</definedName>
    <definedName name="DisDmdChg2">#REF!</definedName>
    <definedName name="DisMEChg" localSheetId="6">#REF!</definedName>
    <definedName name="DisMEChg">#REF!</definedName>
    <definedName name="DisMinDChg" localSheetId="6">#REF!</definedName>
    <definedName name="DisMinDChg">#REF!</definedName>
    <definedName name="DisMinEChg" localSheetId="6">#REF!</definedName>
    <definedName name="DisMinEChg">#REF!</definedName>
    <definedName name="DisOffPkKwh" localSheetId="6">#REF!</definedName>
    <definedName name="DisOffPkKwh">#REF!</definedName>
    <definedName name="DisOnPkKwh" localSheetId="6">#REF!</definedName>
    <definedName name="DisOnPkKwh">#REF!</definedName>
    <definedName name="DisPL1Chg" localSheetId="6">#REF!</definedName>
    <definedName name="DisPL1Chg">#REF!</definedName>
    <definedName name="DisPL2Chg" localSheetId="6">#REF!</definedName>
    <definedName name="DisPL2Chg">#REF!</definedName>
    <definedName name="DisPL3Chg" localSheetId="6">#REF!</definedName>
    <definedName name="DisPL3Chg">#REF!</definedName>
    <definedName name="DisPL4Chg" localSheetId="6">#REF!</definedName>
    <definedName name="DisPL4Chg">#REF!</definedName>
    <definedName name="DisPL5Chg" localSheetId="6">#REF!</definedName>
    <definedName name="DisPL5Chg">#REF!</definedName>
    <definedName name="DisReactiveChg" localSheetId="6">#REF!</definedName>
    <definedName name="DisReactiveChg">#REF!</definedName>
    <definedName name="DisXOfpKvaChg" localSheetId="6">#REF!</definedName>
    <definedName name="DisXOfpKvaChg">#REF!</definedName>
    <definedName name="DisXOfpKwChg" localSheetId="6">#REF!</definedName>
    <definedName name="DisXOfpKwChg">#REF!</definedName>
    <definedName name="DSTCCHG" localSheetId="6">#REF!</definedName>
    <definedName name="DSTCCHG">#REF!</definedName>
    <definedName name="DSTDCHG1" localSheetId="6">#REF!</definedName>
    <definedName name="DSTDCHG1">#REF!</definedName>
    <definedName name="DSTDCHG2" localSheetId="6">#REF!</definedName>
    <definedName name="DSTDCHG2">#REF!</definedName>
    <definedName name="DSTECHG1" localSheetId="6">#REF!</definedName>
    <definedName name="DSTECHG1">#REF!</definedName>
    <definedName name="DSTECHGB1" localSheetId="6">#REF!</definedName>
    <definedName name="DSTECHGB1">#REF!</definedName>
    <definedName name="DSTECHGB2" localSheetId="6">#REF!</definedName>
    <definedName name="DSTECHGB2">#REF!</definedName>
    <definedName name="DSTECHGB3" localSheetId="6">#REF!</definedName>
    <definedName name="DSTECHGB3">#REF!</definedName>
    <definedName name="DSTMECHG1" localSheetId="6">#REF!</definedName>
    <definedName name="DSTMECHG1">#REF!</definedName>
    <definedName name="DSTMINDC" localSheetId="6">#REF!</definedName>
    <definedName name="DSTMINDC">#REF!</definedName>
    <definedName name="DSTMINEC" localSheetId="6">#REF!</definedName>
    <definedName name="DSTMINEC">#REF!</definedName>
    <definedName name="DSTOFKWH" localSheetId="6">#REF!</definedName>
    <definedName name="DSTOFKWH">#REF!</definedName>
    <definedName name="DSTOPKWH" localSheetId="6">#REF!</definedName>
    <definedName name="DSTOPKWH">#REF!</definedName>
    <definedName name="DSTP1EC" localSheetId="6">#REF!</definedName>
    <definedName name="DSTP1EC">#REF!</definedName>
    <definedName name="DSTP2EC" localSheetId="6">#REF!</definedName>
    <definedName name="DSTP2EC">#REF!</definedName>
    <definedName name="DSTP3EC" localSheetId="6">#REF!</definedName>
    <definedName name="DSTP3EC">#REF!</definedName>
    <definedName name="DSTP4EC" localSheetId="6">#REF!</definedName>
    <definedName name="DSTP4EC">#REF!</definedName>
    <definedName name="DSTP5EC" localSheetId="6">#REF!</definedName>
    <definedName name="DSTP5EC">#REF!</definedName>
    <definedName name="DSTRCHG" localSheetId="6">#REF!</definedName>
    <definedName name="DSTRCHG">#REF!</definedName>
    <definedName name="DSTXOFKVA" localSheetId="6">#REF!</definedName>
    <definedName name="DSTXOFKVA">#REF!</definedName>
    <definedName name="DSTXOFKW" localSheetId="6">#REF!</definedName>
    <definedName name="DSTXOFKW">#REF!</definedName>
    <definedName name="EDRBASE" localSheetId="6">#REF!</definedName>
    <definedName name="EDRBASE">#REF!</definedName>
    <definedName name="EDRDATE" localSheetId="6">#REF!</definedName>
    <definedName name="EDRDATE">#REF!</definedName>
    <definedName name="EDRDSCNT" localSheetId="6">#REF!</definedName>
    <definedName name="EDRDSCNT">#REF!</definedName>
    <definedName name="EDRLVLPCT" localSheetId="6">#REF!</definedName>
    <definedName name="EDRLVLPCT">#REF!</definedName>
    <definedName name="EDRTYPE" localSheetId="6">#REF!</definedName>
    <definedName name="EDRTYPE">#REF!</definedName>
    <definedName name="EffDate" localSheetId="6">#REF!</definedName>
    <definedName name="EffDate">#REF!</definedName>
    <definedName name="ELKMCGN1" localSheetId="6">#REF!</definedName>
    <definedName name="ELKMCGN1">#REF!</definedName>
    <definedName name="ELKMCGN2" localSheetId="6">#REF!</definedName>
    <definedName name="ELKMCGN2">#REF!</definedName>
    <definedName name="ENDDTM" localSheetId="6">#REF!</definedName>
    <definedName name="ENDDTM">#REF!</definedName>
    <definedName name="ENDTIME" localSheetId="6">#REF!</definedName>
    <definedName name="ENDTIME">#REF!</definedName>
    <definedName name="EstExcessAmt" localSheetId="6">#REF!</definedName>
    <definedName name="EstExcessAmt">#REF!</definedName>
    <definedName name="EstGrTaxAmt" localSheetId="6">#REF!</definedName>
    <definedName name="EstGrTaxAmt">#REF!</definedName>
    <definedName name="EstKWHExcess" localSheetId="6">#REF!</definedName>
    <definedName name="EstKWHExcess">#REF!</definedName>
    <definedName name="EstKWHNotUsed" localSheetId="6">#REF!</definedName>
    <definedName name="EstKWHNotUsed">#REF!</definedName>
    <definedName name="EstKWHRes" localSheetId="6">#REF!</definedName>
    <definedName name="EstKWHRes">#REF!</definedName>
    <definedName name="EstKWHSubTot" localSheetId="6">#REF!</definedName>
    <definedName name="EstKWHSubTot">#REF!</definedName>
    <definedName name="EstKWHTot" localSheetId="6">#REF!</definedName>
    <definedName name="EstKWHTot">#REF!</definedName>
    <definedName name="EstNotUsedAmt" localSheetId="6">#REF!</definedName>
    <definedName name="EstNotUsedAmt">#REF!</definedName>
    <definedName name="EstResAmt" localSheetId="6">#REF!</definedName>
    <definedName name="EstResAmt">#REF!</definedName>
    <definedName name="EstSubTotAmt" localSheetId="6">#REF!</definedName>
    <definedName name="EstSubTotAmt">#REF!</definedName>
    <definedName name="EstTotAmt" localSheetId="6">#REF!</definedName>
    <definedName name="EstTotAmt">#REF!</definedName>
    <definedName name="EXCSKVACHG" localSheetId="6">#REF!</definedName>
    <definedName name="EXCSKVACHG">#REF!</definedName>
    <definedName name="EXCSKVADMND" localSheetId="6">#REF!</definedName>
    <definedName name="EXCSKVADMND">#REF!</definedName>
    <definedName name="EXCSKVAR" localSheetId="6">#REF!</definedName>
    <definedName name="EXCSKVAR">#REF!</definedName>
    <definedName name="FIRMKWH" localSheetId="6">#REF!</definedName>
    <definedName name="FIRMKWH">#REF!</definedName>
    <definedName name="FIRSTDAY" localSheetId="6">#REF!</definedName>
    <definedName name="FIRSTDAY">#REF!</definedName>
    <definedName name="FRMCPCT" localSheetId="6">#REF!</definedName>
    <definedName name="FRMCPCT">#REF!</definedName>
    <definedName name="FUELCHG" localSheetId="6">#REF!</definedName>
    <definedName name="FUELCHG">#REF!</definedName>
    <definedName name="FUELRATE" localSheetId="6">#REF!</definedName>
    <definedName name="FUELRATE">#REF!</definedName>
    <definedName name="GenBlkKwhChg1" localSheetId="6">#REF!</definedName>
    <definedName name="GenBlkKwhChg1">#REF!</definedName>
    <definedName name="GenBlkKwhChg2" localSheetId="6">#REF!</definedName>
    <definedName name="GenBlkKwhChg2">#REF!</definedName>
    <definedName name="GenBlkKwhChg3" localSheetId="6">#REF!</definedName>
    <definedName name="GenBlkKwhChg3">#REF!</definedName>
    <definedName name="GenBlkKwhChgT" localSheetId="6">#REF!</definedName>
    <definedName name="GenBlkKwhChgT">#REF!</definedName>
    <definedName name="GENCCHG" localSheetId="6">#REF!</definedName>
    <definedName name="GENCCHG">#REF!</definedName>
    <definedName name="GenCustChg" localSheetId="6">#REF!</definedName>
    <definedName name="GenCustChg">#REF!</definedName>
    <definedName name="GENDCHG1" localSheetId="6">#REF!</definedName>
    <definedName name="GENDCHG1">#REF!</definedName>
    <definedName name="GENDCHG2" localSheetId="6">#REF!</definedName>
    <definedName name="GENDCHG2">#REF!</definedName>
    <definedName name="GenDmdChg1" localSheetId="6">#REF!</definedName>
    <definedName name="GenDmdChg1">#REF!</definedName>
    <definedName name="GenDmdChg2" localSheetId="6">#REF!</definedName>
    <definedName name="GenDmdChg2">#REF!</definedName>
    <definedName name="GENECHG1" localSheetId="6">#REF!</definedName>
    <definedName name="GENECHG1">#REF!</definedName>
    <definedName name="GENECHGB1" localSheetId="6">#REF!</definedName>
    <definedName name="GENECHGB1">#REF!</definedName>
    <definedName name="GENECHGB2" localSheetId="6">#REF!</definedName>
    <definedName name="GENECHGB2">#REF!</definedName>
    <definedName name="GENECHGB3" localSheetId="6">#REF!</definedName>
    <definedName name="GENECHGB3">#REF!</definedName>
    <definedName name="GenMEChg" localSheetId="6">#REF!</definedName>
    <definedName name="GenMEChg">#REF!</definedName>
    <definedName name="GENMECHG1" localSheetId="6">#REF!</definedName>
    <definedName name="GENMECHG1">#REF!</definedName>
    <definedName name="GENMINDC" localSheetId="6">#REF!</definedName>
    <definedName name="GENMINDC">#REF!</definedName>
    <definedName name="GenMinDChg" localSheetId="6">#REF!</definedName>
    <definedName name="GenMinDChg">#REF!</definedName>
    <definedName name="GENMINEC" localSheetId="6">#REF!</definedName>
    <definedName name="GENMINEC">#REF!</definedName>
    <definedName name="GenMinEChg" localSheetId="6">#REF!</definedName>
    <definedName name="GenMinEChg">#REF!</definedName>
    <definedName name="GenOffPkKwh" localSheetId="6">#REF!</definedName>
    <definedName name="GenOffPkKwh">#REF!</definedName>
    <definedName name="GENOFKWH" localSheetId="6">#REF!</definedName>
    <definedName name="GENOFKWH">#REF!</definedName>
    <definedName name="GenOnPkKwh" localSheetId="6">#REF!</definedName>
    <definedName name="GenOnPkKwh">#REF!</definedName>
    <definedName name="GENOPKWH" localSheetId="6">#REF!</definedName>
    <definedName name="GENOPKWH">#REF!</definedName>
    <definedName name="GENP1EC" localSheetId="6">#REF!</definedName>
    <definedName name="GENP1EC">#REF!</definedName>
    <definedName name="GENP2EC" localSheetId="6">#REF!</definedName>
    <definedName name="GENP2EC">#REF!</definedName>
    <definedName name="GENP3EC" localSheetId="6">#REF!</definedName>
    <definedName name="GENP3EC">#REF!</definedName>
    <definedName name="GENP4EC" localSheetId="6">#REF!</definedName>
    <definedName name="GENP4EC">#REF!</definedName>
    <definedName name="GENP5EC" localSheetId="6">#REF!</definedName>
    <definedName name="GENP5EC">#REF!</definedName>
    <definedName name="GenPL1Chg" localSheetId="6">#REF!</definedName>
    <definedName name="GenPL1Chg">#REF!</definedName>
    <definedName name="GenPL2Chg" localSheetId="6">#REF!</definedName>
    <definedName name="GenPL2Chg">#REF!</definedName>
    <definedName name="GenPL3Chg" localSheetId="6">#REF!</definedName>
    <definedName name="GenPL3Chg">#REF!</definedName>
    <definedName name="GenPL4Chg" localSheetId="6">#REF!</definedName>
    <definedName name="GenPL4Chg">#REF!</definedName>
    <definedName name="GenPL5Chg" localSheetId="6">#REF!</definedName>
    <definedName name="GenPL5Chg">#REF!</definedName>
    <definedName name="GENRCHG" localSheetId="6">#REF!</definedName>
    <definedName name="GENRCHG">#REF!</definedName>
    <definedName name="GenReactiveChg" localSheetId="6">#REF!</definedName>
    <definedName name="GenReactiveChg">#REF!</definedName>
    <definedName name="GENXOFKVA" localSheetId="6">#REF!</definedName>
    <definedName name="GENXOFKVA">#REF!</definedName>
    <definedName name="GENXOFKW" localSheetId="6">#REF!</definedName>
    <definedName name="GENXOFKW">#REF!</definedName>
    <definedName name="GenXOfpKvaChg" localSheetId="6">#REF!</definedName>
    <definedName name="GenXOfpKvaChg">#REF!</definedName>
    <definedName name="GenXOfpKwChg" localSheetId="6">#REF!</definedName>
    <definedName name="GenXOfpKwChg">#REF!</definedName>
    <definedName name="GIRPCCHG" localSheetId="6">#REF!</definedName>
    <definedName name="GIRPCCHG">#REF!</definedName>
    <definedName name="GIRPDCHG1" localSheetId="6">#REF!</definedName>
    <definedName name="GIRPDCHG1">#REF!</definedName>
    <definedName name="GIRPDCHG2" localSheetId="6">#REF!</definedName>
    <definedName name="GIRPDCHG2">#REF!</definedName>
    <definedName name="GIRPECHG1" localSheetId="6">#REF!</definedName>
    <definedName name="GIRPECHG1">#REF!</definedName>
    <definedName name="GIRPECHGB1" localSheetId="6">#REF!</definedName>
    <definedName name="GIRPECHGB1">#REF!</definedName>
    <definedName name="GIRPECHGB2" localSheetId="6">#REF!</definedName>
    <definedName name="GIRPECHGB2">#REF!</definedName>
    <definedName name="GIRPECHGB3" localSheetId="6">#REF!</definedName>
    <definedName name="GIRPECHGB3">#REF!</definedName>
    <definedName name="GIRPMECHG1" localSheetId="6">#REF!</definedName>
    <definedName name="GIRPMECHG1">#REF!</definedName>
    <definedName name="GIRPMINDC" localSheetId="6">#REF!</definedName>
    <definedName name="GIRPMINDC">#REF!</definedName>
    <definedName name="GIRPMINEC" localSheetId="6">#REF!</definedName>
    <definedName name="GIRPMINEC">#REF!</definedName>
    <definedName name="GIRPOFKVA" localSheetId="6">#REF!</definedName>
    <definedName name="GIRPOFKVA">#REF!</definedName>
    <definedName name="GIRPOFKW" localSheetId="6">#REF!</definedName>
    <definedName name="GIRPOFKW">#REF!</definedName>
    <definedName name="GIRPOFKWH" localSheetId="6">#REF!</definedName>
    <definedName name="GIRPOFKWH">#REF!</definedName>
    <definedName name="GIRPOPKWH" localSheetId="6">#REF!</definedName>
    <definedName name="GIRPOPKWH">#REF!</definedName>
    <definedName name="GIRPP1EC" localSheetId="6">#REF!</definedName>
    <definedName name="GIRPP1EC">#REF!</definedName>
    <definedName name="GIRPP2EC" localSheetId="6">#REF!</definedName>
    <definedName name="GIRPP2EC">#REF!</definedName>
    <definedName name="GIRPP3EC" localSheetId="6">#REF!</definedName>
    <definedName name="GIRPP3EC">#REF!</definedName>
    <definedName name="GIRPP4EC" localSheetId="6">#REF!</definedName>
    <definedName name="GIRPP4EC">#REF!</definedName>
    <definedName name="GIRPP5EC" localSheetId="6">#REF!</definedName>
    <definedName name="GIRPP5EC">#REF!</definedName>
    <definedName name="GIRPRCHG" localSheetId="6">#REF!</definedName>
    <definedName name="GIRPRCHG">#REF!</definedName>
    <definedName name="HEADA" localSheetId="6">#REF!</definedName>
    <definedName name="HEADA">#REF!</definedName>
    <definedName name="HEADB" localSheetId="6">#REF!</definedName>
    <definedName name="HEADB">#REF!</definedName>
    <definedName name="HEADC" localSheetId="6">#REF!</definedName>
    <definedName name="HEADC">#REF!</definedName>
    <definedName name="HEADD" localSheetId="6">#REF!</definedName>
    <definedName name="HEADD">#REF!</definedName>
    <definedName name="HIPREKW" localSheetId="6">#REF!</definedName>
    <definedName name="HIPREKW">#REF!</definedName>
    <definedName name="HRCRDKW" localSheetId="6">#REF!</definedName>
    <definedName name="HRCRDKW">#REF!</definedName>
    <definedName name="HRCRDKWDT" localSheetId="6">#REF!</definedName>
    <definedName name="HRCRDKWDT">#REF!</definedName>
    <definedName name="HRCRDKWTM" localSheetId="6">#REF!</definedName>
    <definedName name="HRCRDKWTM">#REF!</definedName>
    <definedName name="HROFPKDT" localSheetId="6">#REF!</definedName>
    <definedName name="HROFPKDT">#REF!</definedName>
    <definedName name="HROFPKKW" localSheetId="6">#REF!</definedName>
    <definedName name="HROFPKKW">#REF!</definedName>
    <definedName name="HROFPKTM" localSheetId="6">#REF!</definedName>
    <definedName name="HROFPKTM">#REF!</definedName>
    <definedName name="HRONPKDT" localSheetId="6">#REF!</definedName>
    <definedName name="HRONPKDT">#REF!</definedName>
    <definedName name="HRONPKKW" localSheetId="6">#REF!</definedName>
    <definedName name="HRONPKKW">#REF!</definedName>
    <definedName name="HRONPKTM" localSheetId="6">#REF!</definedName>
    <definedName name="HRONPKTM">#REF!</definedName>
    <definedName name="IMCO" localSheetId="6">#REF!</definedName>
    <definedName name="IMCO">#REF!</definedName>
    <definedName name="InterruptCapacity" localSheetId="6">#REF!</definedName>
    <definedName name="InterruptCapacity">#REF!</definedName>
    <definedName name="InterruptOfpCapacity" localSheetId="6">#REF!</definedName>
    <definedName name="InterruptOfpCapacity">#REF!</definedName>
    <definedName name="InterruptType" localSheetId="6">#REF!</definedName>
    <definedName name="InterruptType">#REF!</definedName>
    <definedName name="INTRPBLCAP" localSheetId="6">#REF!</definedName>
    <definedName name="INTRPBLCAP">#REF!</definedName>
    <definedName name="Invdetails" localSheetId="6">#REF!</definedName>
    <definedName name="Invdetails">#REF!</definedName>
    <definedName name="KWCHG" localSheetId="6">#REF!</definedName>
    <definedName name="KWCHG">#REF!</definedName>
    <definedName name="KWH1NOCMM" localSheetId="6">#REF!</definedName>
    <definedName name="KWH1NOCMM">#REF!</definedName>
    <definedName name="KWH3NOCMM" localSheetId="6">#REF!</definedName>
    <definedName name="KWH3NOCMM">#REF!</definedName>
    <definedName name="KWHCHG" localSheetId="6">#REF!</definedName>
    <definedName name="KWHCHG">#REF!</definedName>
    <definedName name="LASTDAY" localSheetId="6">#REF!</definedName>
    <definedName name="LASTDAY">#REF!</definedName>
    <definedName name="LASTFUEL" localSheetId="6">#REF!</definedName>
    <definedName name="LASTFUEL">#REF!</definedName>
    <definedName name="LASTMSRR" localSheetId="6">#REF!</definedName>
    <definedName name="LASTMSRR">#REF!</definedName>
    <definedName name="LASTPFCC" localSheetId="6">#REF!</definedName>
    <definedName name="LASTPFCC">#REF!</definedName>
    <definedName name="LDFCTR" localSheetId="6">#REF!</definedName>
    <definedName name="LDFCTR">#REF!</definedName>
    <definedName name="LRCREDIT" localSheetId="6">#REF!</definedName>
    <definedName name="LRCREDIT">#REF!</definedName>
    <definedName name="MACC1" localSheetId="6">#REF!</definedName>
    <definedName name="MACC1">#REF!</definedName>
    <definedName name="MACC2" localSheetId="6">#REF!</definedName>
    <definedName name="MACC2">#REF!</definedName>
    <definedName name="MAINTHRSCRMO" localSheetId="6">#REF!</definedName>
    <definedName name="MAINTHRSCRMO">#REF!</definedName>
    <definedName name="MAINTKWH" localSheetId="6">#REF!</definedName>
    <definedName name="MAINTKWH">#REF!</definedName>
    <definedName name="MinBillDem" localSheetId="6">#REF!</definedName>
    <definedName name="MinBillDem">#REF!</definedName>
    <definedName name="MinBillDem2" localSheetId="6">#REF!</definedName>
    <definedName name="MinBillDem2">#REF!</definedName>
    <definedName name="MinBillDmd" localSheetId="6">#REF!</definedName>
    <definedName name="MinBillDmd">#REF!</definedName>
    <definedName name="MSRRBLD" localSheetId="6">#REF!</definedName>
    <definedName name="MSRRBLD">#REF!</definedName>
    <definedName name="MSRRCHG" localSheetId="6">#REF!</definedName>
    <definedName name="MSRRCHG">#REF!</definedName>
    <definedName name="MTRMLTPLR1" localSheetId="6">#REF!</definedName>
    <definedName name="MTRMLTPLR1">#REF!</definedName>
    <definedName name="MTRMLTPLR2" localSheetId="6">#REF!</definedName>
    <definedName name="MTRMLTPLR2">#REF!</definedName>
    <definedName name="NETMRGCHG" localSheetId="6">#REF!</definedName>
    <definedName name="NETMRGCHG">#REF!</definedName>
    <definedName name="NODAYSINPRD" localSheetId="6">#REF!</definedName>
    <definedName name="NODAYSINPRD">#REF!</definedName>
    <definedName name="NODELPOINTS" localSheetId="6">#REF!</definedName>
    <definedName name="NODELPOINTS">#REF!</definedName>
    <definedName name="np">#REF!</definedName>
    <definedName name="NP_h">#REF!</definedName>
    <definedName name="NP_h1" localSheetId="6">#REF!</definedName>
    <definedName name="NP_h1">#REF!</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 localSheetId="6">#REF!</definedName>
    <definedName name="OFPCBLKW">#REF!</definedName>
    <definedName name="OFPKBILLKWH" localSheetId="6">#REF!</definedName>
    <definedName name="OFPKBILLKWH">#REF!</definedName>
    <definedName name="OFPKCGNKWH" localSheetId="6">#REF!</definedName>
    <definedName name="OFPKCGNKWH">#REF!</definedName>
    <definedName name="OFPKCNTRCTCPCT" localSheetId="6">#REF!</definedName>
    <definedName name="OFPKCNTRCTCPCT">#REF!</definedName>
    <definedName name="OFPKDMPKWH" localSheetId="6">#REF!</definedName>
    <definedName name="OFPKDMPKWH">#REF!</definedName>
    <definedName name="OFPKDSCRKWH" localSheetId="6">#REF!</definedName>
    <definedName name="OFPKDSCRKWH">#REF!</definedName>
    <definedName name="OFPKDT" localSheetId="6">#REF!</definedName>
    <definedName name="OFPKDT">#REF!</definedName>
    <definedName name="OFPKEXCSKW" localSheetId="6">#REF!</definedName>
    <definedName name="OFPKEXCSKW">#REF!</definedName>
    <definedName name="OFPKINCRKWH" localSheetId="6">#REF!</definedName>
    <definedName name="OFPKINCRKWH">#REF!</definedName>
    <definedName name="OFPKKVADT" localSheetId="6">#REF!</definedName>
    <definedName name="OFPKKVADT">#REF!</definedName>
    <definedName name="OFPKKVATM" localSheetId="6">#REF!</definedName>
    <definedName name="OFPKKVATM">#REF!</definedName>
    <definedName name="OFPKKVW" localSheetId="6">#REF!</definedName>
    <definedName name="OFPKKVW">#REF!</definedName>
    <definedName name="OFPKKW" localSheetId="6">#REF!</definedName>
    <definedName name="OFPKKW">#REF!</definedName>
    <definedName name="OFPKKWH1NOCMM" localSheetId="6">#REF!</definedName>
    <definedName name="OFPKKWH1NOCMM">#REF!</definedName>
    <definedName name="OFPKKWH3NOCMM" localSheetId="6">#REF!</definedName>
    <definedName name="OFPKKWH3NOCMM">#REF!</definedName>
    <definedName name="OFPKRCRDKWH" localSheetId="6">#REF!</definedName>
    <definedName name="OFPKRCRDKWH">#REF!</definedName>
    <definedName name="OFPKTM" localSheetId="6">#REF!</definedName>
    <definedName name="OFPKTM">#REF!</definedName>
    <definedName name="OFPXCSKW" localSheetId="6">#REF!</definedName>
    <definedName name="OFPXCSKW">#REF!</definedName>
    <definedName name="OFPXCSKWDT" localSheetId="6">#REF!</definedName>
    <definedName name="OFPXCSKWDT">#REF!</definedName>
    <definedName name="OFPXCSKWH" localSheetId="6">#REF!</definedName>
    <definedName name="OFPXCSKWH">#REF!</definedName>
    <definedName name="OFPXCSKWTM" localSheetId="6">#REF!</definedName>
    <definedName name="OFPXCSKWTM">#REF!</definedName>
    <definedName name="ONPKBILLKWH" localSheetId="6">#REF!</definedName>
    <definedName name="ONPKBILLKWH">#REF!</definedName>
    <definedName name="ONPKCAPB" localSheetId="6">#REF!</definedName>
    <definedName name="ONPKCAPB">#REF!</definedName>
    <definedName name="ONPKCGNKWH" localSheetId="6">#REF!</definedName>
    <definedName name="ONPKCGNKWH">#REF!</definedName>
    <definedName name="ONPKCNTRCTCPCT" localSheetId="6">#REF!</definedName>
    <definedName name="ONPKCNTRCTCPCT">#REF!</definedName>
    <definedName name="ONPKDMPKWH" localSheetId="6">#REF!</definedName>
    <definedName name="ONPKDMPKWH">#REF!</definedName>
    <definedName name="ONPKDSCRKWH" localSheetId="6">#REF!</definedName>
    <definedName name="ONPKDSCRKWH">#REF!</definedName>
    <definedName name="ONPKDT" localSheetId="6">#REF!</definedName>
    <definedName name="ONPKDT">#REF!</definedName>
    <definedName name="ONPKINCRKWH" localSheetId="6">#REF!</definedName>
    <definedName name="ONPKINCRKWH">#REF!</definedName>
    <definedName name="ONPKKVA" localSheetId="6">#REF!</definedName>
    <definedName name="ONPKKVA">#REF!</definedName>
    <definedName name="ONPKKVADT" localSheetId="6">#REF!</definedName>
    <definedName name="ONPKKVADT">#REF!</definedName>
    <definedName name="ONPKKVATM" localSheetId="6">#REF!</definedName>
    <definedName name="ONPKKVATM">#REF!</definedName>
    <definedName name="ONPKKW" localSheetId="6">#REF!</definedName>
    <definedName name="ONPKKW">#REF!</definedName>
    <definedName name="ONPKKWH1NOCMM" localSheetId="6">#REF!</definedName>
    <definedName name="ONPKKWH1NOCMM">#REF!</definedName>
    <definedName name="ONPKKWH3NOCMM" localSheetId="6">#REF!</definedName>
    <definedName name="ONPKKWH3NOCMM">#REF!</definedName>
    <definedName name="ONPKRCRDKWH" localSheetId="6">#REF!</definedName>
    <definedName name="ONPKRCRDKWH">#REF!</definedName>
    <definedName name="ONPKTM" localSheetId="6">#REF!</definedName>
    <definedName name="ONPKTM">#REF!</definedName>
    <definedName name="OPCBLKW" localSheetId="6">#REF!</definedName>
    <definedName name="OPCBLKW">#REF!</definedName>
    <definedName name="OPCO" localSheetId="6">#REF!</definedName>
    <definedName name="OPCO">#REF!</definedName>
    <definedName name="OPXCSKW" localSheetId="6">#REF!</definedName>
    <definedName name="OPXCSKW">#REF!</definedName>
    <definedName name="OPXCSKWDT" localSheetId="6">#REF!</definedName>
    <definedName name="OPXCSKWDT">#REF!</definedName>
    <definedName name="OPXCSKWH" localSheetId="6">#REF!</definedName>
    <definedName name="OPXCSKWH">#REF!</definedName>
    <definedName name="OPXCSKWTM" localSheetId="6">#REF!</definedName>
    <definedName name="OPXCSKWTM">#REF!</definedName>
    <definedName name="OTHRTRNSKWH" localSheetId="6">#REF!</definedName>
    <definedName name="OTHRTRNSKWH">#REF!</definedName>
    <definedName name="P1PENPERC" localSheetId="6">#REF!</definedName>
    <definedName name="P1PENPERC">#REF!</definedName>
    <definedName name="P2PENPERC" localSheetId="6">#REF!</definedName>
    <definedName name="P2PENPERC">#REF!</definedName>
    <definedName name="PAGEA" localSheetId="6">#REF!</definedName>
    <definedName name="PAGEA">#REF!</definedName>
    <definedName name="PAGEB" localSheetId="6">#REF!</definedName>
    <definedName name="PAGEB">#REF!</definedName>
    <definedName name="PAGEC" localSheetId="6">#REF!</definedName>
    <definedName name="PAGEC">#REF!</definedName>
    <definedName name="PAGED" localSheetId="6">#REF!</definedName>
    <definedName name="PAGED">#REF!</definedName>
    <definedName name="PeakDemandChg" localSheetId="6">#REF!</definedName>
    <definedName name="PeakDemandChg">#REF!</definedName>
    <definedName name="PenaltyDays" localSheetId="6">#REF!</definedName>
    <definedName name="PenaltyDays">#REF!</definedName>
    <definedName name="PenaltyPct" localSheetId="6">#REF!</definedName>
    <definedName name="PenaltyPct">#REF!</definedName>
    <definedName name="PENDAYS" localSheetId="6">#REF!</definedName>
    <definedName name="PENDAYS">#REF!</definedName>
    <definedName name="PENDAYS2" localSheetId="6">#REF!</definedName>
    <definedName name="PENDAYS2">#REF!</definedName>
    <definedName name="PFCC" localSheetId="6">#REF!</definedName>
    <definedName name="PFCC">#REF!</definedName>
    <definedName name="PKKVAR" localSheetId="6">#REF!</definedName>
    <definedName name="PKKVAR">#REF!</definedName>
    <definedName name="PKKVARDATE" localSheetId="6">#REF!</definedName>
    <definedName name="PKKVARDATE">#REF!</definedName>
    <definedName name="PKKVARTIME" localSheetId="6">#REF!</definedName>
    <definedName name="PKKVARTIME">#REF!</definedName>
    <definedName name="PLVLKWH1" localSheetId="6">#REF!</definedName>
    <definedName name="PLVLKWH1">#REF!</definedName>
    <definedName name="PLVLKWH1A" localSheetId="6">#REF!</definedName>
    <definedName name="PLVLKWH1A">#REF!</definedName>
    <definedName name="PLVLKWH2" localSheetId="6">#REF!</definedName>
    <definedName name="PLVLKWH2">#REF!</definedName>
    <definedName name="PLVLKWH23A" localSheetId="6">#REF!</definedName>
    <definedName name="PLVLKWH23A">#REF!</definedName>
    <definedName name="PLVLKWH25" localSheetId="6">#REF!</definedName>
    <definedName name="PLVLKWH25">#REF!</definedName>
    <definedName name="PLVLKWH2A" localSheetId="6">#REF!</definedName>
    <definedName name="PLVLKWH2A">#REF!</definedName>
    <definedName name="PLVLKWH3" localSheetId="6">#REF!</definedName>
    <definedName name="PLVLKWH3">#REF!</definedName>
    <definedName name="PLVLKWH3A" localSheetId="6">#REF!</definedName>
    <definedName name="PLVLKWH3A">#REF!</definedName>
    <definedName name="PLVLKWH4" localSheetId="6">#REF!</definedName>
    <definedName name="PLVLKWH4">#REF!</definedName>
    <definedName name="PLVLKWH4A" localSheetId="6">#REF!</definedName>
    <definedName name="PLVLKWH4A">#REF!</definedName>
    <definedName name="PRICEDESIG" localSheetId="6">#REF!</definedName>
    <definedName name="PRICEDESIG">#REF!</definedName>
    <definedName name="PriMoAddr1" localSheetId="6">#REF!</definedName>
    <definedName name="PriMoAddr1">#REF!</definedName>
    <definedName name="PriMoAddr2" localSheetId="6">#REF!</definedName>
    <definedName name="PriMoAddr2">#REF!</definedName>
    <definedName name="PriMoBTDetail" localSheetId="6">#REF!</definedName>
    <definedName name="PriMoBTDetail">#REF!</definedName>
    <definedName name="PriMoBuyThrgh_Sheet" localSheetId="6">#REF!</definedName>
    <definedName name="PriMoBuyThrgh_Sheet">#REF!</definedName>
    <definedName name="PriMoCityStZip" localSheetId="6">#REF!</definedName>
    <definedName name="PriMoCityStZip">#REF!</definedName>
    <definedName name="PriMoCustName" localSheetId="6">#REF!</definedName>
    <definedName name="PriMoCustName">#REF!</definedName>
    <definedName name="PriMoMtrMult" localSheetId="6">#REF!</definedName>
    <definedName name="PriMoMtrMult">#REF!</definedName>
    <definedName name="_xlnm.Print_Area" localSheetId="22">#REF!</definedName>
    <definedName name="_xlnm.Print_Area" localSheetId="0">TCOS!$A$1:$L$393</definedName>
    <definedName name="_xlnm.Print_Area" localSheetId="26">'WPC-WS P Dep. Rates'!#REF!</definedName>
    <definedName name="_xlnm.Print_Area" localSheetId="2">'WS B ADIT &amp; ITC'!$A$1:$I$57</definedName>
    <definedName name="_xlnm.Print_Area" localSheetId="4">'WS B-2 - Actual Stmt. AG'!$A$1:$S$94</definedName>
    <definedName name="_xlnm.Print_Area" localSheetId="5">'WS B-3'!$A$1:$R$66</definedName>
    <definedName name="_xlnm.Print_Area" localSheetId="6">'WS B-3-A'!$A$1:$N$58</definedName>
    <definedName name="_xlnm.Print_Area" localSheetId="13">'WS H-1-Detail of Tax Amts'!$A$1:$I$139</definedName>
    <definedName name="_xlnm.Print_Area" localSheetId="20">'WS O - PBOP'!$A$1:$K$58</definedName>
    <definedName name="_xlnm.Print_Area">#REF!</definedName>
    <definedName name="_xlnm.Print_Titles" localSheetId="26">'WPC-WS P Dep. Rates'!#REF!</definedName>
    <definedName name="PRVCNT" localSheetId="22">#REF!</definedName>
    <definedName name="PRVCNT" localSheetId="6">#REF!</definedName>
    <definedName name="PRVCNT">#REF!</definedName>
    <definedName name="PRVDATE" localSheetId="22">#REF!</definedName>
    <definedName name="PRVDATE" localSheetId="6">#REF!</definedName>
    <definedName name="PRVDATE">#REF!</definedName>
    <definedName name="PRVFUEL" localSheetId="22">#REF!</definedName>
    <definedName name="PRVFUEL" localSheetId="6">#REF!</definedName>
    <definedName name="PRVFUEL">#REF!</definedName>
    <definedName name="PRVKW" localSheetId="6">#REF!</definedName>
    <definedName name="PRVKW">#REF!</definedName>
    <definedName name="PRVKWH" localSheetId="6">#REF!</definedName>
    <definedName name="PRVKWH">#REF!</definedName>
    <definedName name="PRVMSRR" localSheetId="6">#REF!</definedName>
    <definedName name="PRVMSRR">#REF!</definedName>
    <definedName name="PRVPFCC" localSheetId="6">#REF!</definedName>
    <definedName name="PRVPFCC">#REF!</definedName>
    <definedName name="PSO_Proj_Allocators" localSheetId="6">#REF!</definedName>
    <definedName name="PSO_Proj_Allocators">#REF!</definedName>
    <definedName name="PSOallocatorsP" localSheetId="6">#REF!</definedName>
    <definedName name="PSOallocatorsP">#REF!</definedName>
    <definedName name="PVHIOFPCBL" localSheetId="6">#REF!</definedName>
    <definedName name="PVHIOFPCBL">#REF!</definedName>
    <definedName name="PVHIOPCBL" localSheetId="6">#REF!</definedName>
    <definedName name="PVHIOPCBL">#REF!</definedName>
    <definedName name="RatchetFactor" localSheetId="6">#REF!</definedName>
    <definedName name="RatchetFactor">#REF!</definedName>
    <definedName name="RCRDRID" localSheetId="6">#REF!</definedName>
    <definedName name="RCRDRID">#REF!</definedName>
    <definedName name="RCTVHRS" localSheetId="6">#REF!</definedName>
    <definedName name="RCTVHRS">#REF!</definedName>
    <definedName name="RDRBLK1C" localSheetId="6">#REF!</definedName>
    <definedName name="RDRBLK1C">#REF!</definedName>
    <definedName name="RDRBLK1Q" localSheetId="6">#REF!</definedName>
    <definedName name="RDRBLK1Q">#REF!</definedName>
    <definedName name="RDRBLK2C" localSheetId="6">#REF!</definedName>
    <definedName name="RDRBLK2C">#REF!</definedName>
    <definedName name="RDRBLK2Q" localSheetId="6">#REF!</definedName>
    <definedName name="RDRBLK2Q">#REF!</definedName>
    <definedName name="RDRBLK3C" localSheetId="6">#REF!</definedName>
    <definedName name="RDRBLK3C">#REF!</definedName>
    <definedName name="RDRBLK3Q" localSheetId="6">#REF!</definedName>
    <definedName name="RDRBLK3Q">#REF!</definedName>
    <definedName name="RDRBLKTC" localSheetId="6">#REF!</definedName>
    <definedName name="RDRBLKTC">#REF!</definedName>
    <definedName name="RDRBLKTC1" localSheetId="6">#REF!</definedName>
    <definedName name="RDRBLKTC1">#REF!</definedName>
    <definedName name="RDRBLKTC10" localSheetId="6">#REF!</definedName>
    <definedName name="RDRBLKTC10">#REF!</definedName>
    <definedName name="RDRBLKTC11" localSheetId="6">#REF!</definedName>
    <definedName name="RDRBLKTC11">#REF!</definedName>
    <definedName name="RDRBLKTC12" localSheetId="6">#REF!</definedName>
    <definedName name="RDRBLKTC12">#REF!</definedName>
    <definedName name="RDRBLKTC13" localSheetId="6">#REF!</definedName>
    <definedName name="RDRBLKTC13">#REF!</definedName>
    <definedName name="RDRBLKTC14" localSheetId="6">#REF!</definedName>
    <definedName name="RDRBLKTC14">#REF!</definedName>
    <definedName name="RDRBLKTC15" localSheetId="6">#REF!</definedName>
    <definedName name="RDRBLKTC15">#REF!</definedName>
    <definedName name="RDRBLKTC16" localSheetId="6">#REF!</definedName>
    <definedName name="RDRBLKTC16">#REF!</definedName>
    <definedName name="RDRBLKTC17" localSheetId="6">#REF!</definedName>
    <definedName name="RDRBLKTC17">#REF!</definedName>
    <definedName name="RDRBLKTC18" localSheetId="6">#REF!</definedName>
    <definedName name="RDRBLKTC18">#REF!</definedName>
    <definedName name="RDRBLKTC19" localSheetId="6">#REF!</definedName>
    <definedName name="RDRBLKTC19">#REF!</definedName>
    <definedName name="RDRBLKTC2" localSheetId="6">#REF!</definedName>
    <definedName name="RDRBLKTC2">#REF!</definedName>
    <definedName name="RDRBLKTC20" localSheetId="6">#REF!</definedName>
    <definedName name="RDRBLKTC20">#REF!</definedName>
    <definedName name="RDRBLKTC3" localSheetId="6">#REF!</definedName>
    <definedName name="RDRBLKTC3">#REF!</definedName>
    <definedName name="RDRBLKTC4" localSheetId="6">#REF!</definedName>
    <definedName name="RDRBLKTC4">#REF!</definedName>
    <definedName name="RDRBLKTC5" localSheetId="6">#REF!</definedName>
    <definedName name="RDRBLKTC5">#REF!</definedName>
    <definedName name="RDRBLKTC6" localSheetId="6">#REF!</definedName>
    <definedName name="RDRBLKTC6">#REF!</definedName>
    <definedName name="RDRBLKTC7" localSheetId="6">#REF!</definedName>
    <definedName name="RDRBLKTC7">#REF!</definedName>
    <definedName name="RDRBLKTC8" localSheetId="6">#REF!</definedName>
    <definedName name="RDRBLKTC8">#REF!</definedName>
    <definedName name="RDRBLKTC9" localSheetId="6">#REF!</definedName>
    <definedName name="RDRBLKTC9">#REF!</definedName>
    <definedName name="RDRBLKTQ" localSheetId="6">#REF!</definedName>
    <definedName name="RDRBLKTQ">#REF!</definedName>
    <definedName name="RDRCODE" localSheetId="6">#REF!</definedName>
    <definedName name="RDRCODE">#REF!</definedName>
    <definedName name="RDRCYCLE" localSheetId="6">#REF!</definedName>
    <definedName name="RDRCYCLE">#REF!</definedName>
    <definedName name="RDRDATE" localSheetId="6">#REF!</definedName>
    <definedName name="RDRDATE">#REF!</definedName>
    <definedName name="RDRNAME" localSheetId="6">#REF!</definedName>
    <definedName name="RDRNAME">#REF!</definedName>
    <definedName name="RDRRATEB" localSheetId="6">#REF!</definedName>
    <definedName name="RDRRATEB">#REF!</definedName>
    <definedName name="RDRRATEB1" localSheetId="6">#REF!</definedName>
    <definedName name="RDRRATEB1">#REF!</definedName>
    <definedName name="RDRRATEB10" localSheetId="6">#REF!</definedName>
    <definedName name="RDRRATEB10">#REF!</definedName>
    <definedName name="RDRRATEB11" localSheetId="6">#REF!</definedName>
    <definedName name="RDRRATEB11">#REF!</definedName>
    <definedName name="RDRRATEB12" localSheetId="6">#REF!</definedName>
    <definedName name="RDRRATEB12">#REF!</definedName>
    <definedName name="RDRRATEB13" localSheetId="6">#REF!</definedName>
    <definedName name="RDRRATEB13">#REF!</definedName>
    <definedName name="RDRRATEB14" localSheetId="6">#REF!</definedName>
    <definedName name="RDRRATEB14">#REF!</definedName>
    <definedName name="RDRRATEB15" localSheetId="6">#REF!</definedName>
    <definedName name="RDRRATEB15">#REF!</definedName>
    <definedName name="RDRRATEB16" localSheetId="6">#REF!</definedName>
    <definedName name="RDRRATEB16">#REF!</definedName>
    <definedName name="RDRRATEB17" localSheetId="6">#REF!</definedName>
    <definedName name="RDRRATEB17">#REF!</definedName>
    <definedName name="RDRRATEB18" localSheetId="6">#REF!</definedName>
    <definedName name="RDRRATEB18">#REF!</definedName>
    <definedName name="RDRRATEB19" localSheetId="6">#REF!</definedName>
    <definedName name="RDRRATEB19">#REF!</definedName>
    <definedName name="RDRRATEB2" localSheetId="6">#REF!</definedName>
    <definedName name="RDRRATEB2">#REF!</definedName>
    <definedName name="RDRRATEB20" localSheetId="6">#REF!</definedName>
    <definedName name="RDRRATEB20">#REF!</definedName>
    <definedName name="RDRRATEB3" localSheetId="6">#REF!</definedName>
    <definedName name="RDRRATEB3">#REF!</definedName>
    <definedName name="RDRRATEB4" localSheetId="6">#REF!</definedName>
    <definedName name="RDRRATEB4">#REF!</definedName>
    <definedName name="RDRRATEB5" localSheetId="6">#REF!</definedName>
    <definedName name="RDRRATEB5">#REF!</definedName>
    <definedName name="RDRRATEB6" localSheetId="6">#REF!</definedName>
    <definedName name="RDRRATEB6">#REF!</definedName>
    <definedName name="RDRRATEB7" localSheetId="6">#REF!</definedName>
    <definedName name="RDRRATEB7">#REF!</definedName>
    <definedName name="RDRRATEB8" localSheetId="6">#REF!</definedName>
    <definedName name="RDRRATEB8">#REF!</definedName>
    <definedName name="RDRRATEB9" localSheetId="6">#REF!</definedName>
    <definedName name="RDRRATEB9">#REF!</definedName>
    <definedName name="RDRRATED" localSheetId="6">#REF!</definedName>
    <definedName name="RDRRATED">#REF!</definedName>
    <definedName name="RDRRATED1" localSheetId="6">#REF!</definedName>
    <definedName name="RDRRATED1">#REF!</definedName>
    <definedName name="RDRRATED10" localSheetId="6">#REF!</definedName>
    <definedName name="RDRRATED10">#REF!</definedName>
    <definedName name="RDRRATED11" localSheetId="6">#REF!</definedName>
    <definedName name="RDRRATED11">#REF!</definedName>
    <definedName name="RDRRATED12" localSheetId="6">#REF!</definedName>
    <definedName name="RDRRATED12">#REF!</definedName>
    <definedName name="RDRRATED13" localSheetId="6">#REF!</definedName>
    <definedName name="RDRRATED13">#REF!</definedName>
    <definedName name="RDRRATED14" localSheetId="6">#REF!</definedName>
    <definedName name="RDRRATED14">#REF!</definedName>
    <definedName name="RDRRATED15" localSheetId="6">#REF!</definedName>
    <definedName name="RDRRATED15">#REF!</definedName>
    <definedName name="RDRRATED16" localSheetId="6">#REF!</definedName>
    <definedName name="RDRRATED16">#REF!</definedName>
    <definedName name="RDRRATED17" localSheetId="6">#REF!</definedName>
    <definedName name="RDRRATED17">#REF!</definedName>
    <definedName name="RDRRATED18" localSheetId="6">#REF!</definedName>
    <definedName name="RDRRATED18">#REF!</definedName>
    <definedName name="RDRRATED19" localSheetId="6">#REF!</definedName>
    <definedName name="RDRRATED19">#REF!</definedName>
    <definedName name="RDRRATED2" localSheetId="6">#REF!</definedName>
    <definedName name="RDRRATED2">#REF!</definedName>
    <definedName name="RDRRATED20" localSheetId="6">#REF!</definedName>
    <definedName name="RDRRATED20">#REF!</definedName>
    <definedName name="RDRRATED3" localSheetId="6">#REF!</definedName>
    <definedName name="RDRRATED3">#REF!</definedName>
    <definedName name="RDRRATED4" localSheetId="6">#REF!</definedName>
    <definedName name="RDRRATED4">#REF!</definedName>
    <definedName name="RDRRATED5" localSheetId="6">#REF!</definedName>
    <definedName name="RDRRATED5">#REF!</definedName>
    <definedName name="RDRRATED6" localSheetId="6">#REF!</definedName>
    <definedName name="RDRRATED6">#REF!</definedName>
    <definedName name="RDRRATED7" localSheetId="6">#REF!</definedName>
    <definedName name="RDRRATED7">#REF!</definedName>
    <definedName name="RDRRATED8" localSheetId="6">#REF!</definedName>
    <definedName name="RDRRATED8">#REF!</definedName>
    <definedName name="RDRRATED9" localSheetId="6">#REF!</definedName>
    <definedName name="RDRRATED9">#REF!</definedName>
    <definedName name="RDRRATEG" localSheetId="6">#REF!</definedName>
    <definedName name="RDRRATEG">#REF!</definedName>
    <definedName name="RDRRATEG1" localSheetId="6">#REF!</definedName>
    <definedName name="RDRRATEG1">#REF!</definedName>
    <definedName name="RDRRATEG10" localSheetId="6">#REF!</definedName>
    <definedName name="RDRRATEG10">#REF!</definedName>
    <definedName name="RDRRATEG11" localSheetId="6">#REF!</definedName>
    <definedName name="RDRRATEG11">#REF!</definedName>
    <definedName name="RDRRATEG12" localSheetId="6">#REF!</definedName>
    <definedName name="RDRRATEG12">#REF!</definedName>
    <definedName name="RDRRATEG13" localSheetId="6">#REF!</definedName>
    <definedName name="RDRRATEG13">#REF!</definedName>
    <definedName name="RDRRATEG14" localSheetId="6">#REF!</definedName>
    <definedName name="RDRRATEG14">#REF!</definedName>
    <definedName name="RDRRATEG15" localSheetId="6">#REF!</definedName>
    <definedName name="RDRRATEG15">#REF!</definedName>
    <definedName name="RDRRATEG16" localSheetId="6">#REF!</definedName>
    <definedName name="RDRRATEG16">#REF!</definedName>
    <definedName name="RDRRATEG17" localSheetId="6">#REF!</definedName>
    <definedName name="RDRRATEG17">#REF!</definedName>
    <definedName name="RDRRATEG18" localSheetId="6">#REF!</definedName>
    <definedName name="RDRRATEG18">#REF!</definedName>
    <definedName name="RDRRATEG19" localSheetId="6">#REF!</definedName>
    <definedName name="RDRRATEG19">#REF!</definedName>
    <definedName name="RDRRATEG2" localSheetId="6">#REF!</definedName>
    <definedName name="RDRRATEG2">#REF!</definedName>
    <definedName name="RDRRATEG20" localSheetId="6">#REF!</definedName>
    <definedName name="RDRRATEG20">#REF!</definedName>
    <definedName name="RDRRATEG3" localSheetId="6">#REF!</definedName>
    <definedName name="RDRRATEG3">#REF!</definedName>
    <definedName name="RDRRATEG4" localSheetId="6">#REF!</definedName>
    <definedName name="RDRRATEG4">#REF!</definedName>
    <definedName name="RDRRATEG5" localSheetId="6">#REF!</definedName>
    <definedName name="RDRRATEG5">#REF!</definedName>
    <definedName name="RDRRATEG6" localSheetId="6">#REF!</definedName>
    <definedName name="RDRRATEG6">#REF!</definedName>
    <definedName name="RDRRATEG7" localSheetId="6">#REF!</definedName>
    <definedName name="RDRRATEG7">#REF!</definedName>
    <definedName name="RDRRATEG8" localSheetId="6">#REF!</definedName>
    <definedName name="RDRRATEG8">#REF!</definedName>
    <definedName name="RDRRATEG9" localSheetId="6">#REF!</definedName>
    <definedName name="RDRRATEG9">#REF!</definedName>
    <definedName name="RDRRATET" localSheetId="6">#REF!</definedName>
    <definedName name="RDRRATET">#REF!</definedName>
    <definedName name="RDRRATET1" localSheetId="6">#REF!</definedName>
    <definedName name="RDRRATET1">#REF!</definedName>
    <definedName name="RDRRATET10" localSheetId="6">#REF!</definedName>
    <definedName name="RDRRATET10">#REF!</definedName>
    <definedName name="RDRRATET11" localSheetId="6">#REF!</definedName>
    <definedName name="RDRRATET11">#REF!</definedName>
    <definedName name="RDRRATET12" localSheetId="6">#REF!</definedName>
    <definedName name="RDRRATET12">#REF!</definedName>
    <definedName name="RDRRATET13" localSheetId="6">#REF!</definedName>
    <definedName name="RDRRATET13">#REF!</definedName>
    <definedName name="RDRRATET14" localSheetId="6">#REF!</definedName>
    <definedName name="RDRRATET14">#REF!</definedName>
    <definedName name="RDRRATET15" localSheetId="6">#REF!</definedName>
    <definedName name="RDRRATET15">#REF!</definedName>
    <definedName name="RDRRATET16" localSheetId="6">#REF!</definedName>
    <definedName name="RDRRATET16">#REF!</definedName>
    <definedName name="RDRRATET17" localSheetId="6">#REF!</definedName>
    <definedName name="RDRRATET17">#REF!</definedName>
    <definedName name="RDRRATET18" localSheetId="6">#REF!</definedName>
    <definedName name="RDRRATET18">#REF!</definedName>
    <definedName name="RDRRATET19" localSheetId="6">#REF!</definedName>
    <definedName name="RDRRATET19">#REF!</definedName>
    <definedName name="RDRRATET2" localSheetId="6">#REF!</definedName>
    <definedName name="RDRRATET2">#REF!</definedName>
    <definedName name="RDRRATET20" localSheetId="6">#REF!</definedName>
    <definedName name="RDRRATET20">#REF!</definedName>
    <definedName name="RDRRATET3" localSheetId="6">#REF!</definedName>
    <definedName name="RDRRATET3">#REF!</definedName>
    <definedName name="RDRRATET4" localSheetId="6">#REF!</definedName>
    <definedName name="RDRRATET4">#REF!</definedName>
    <definedName name="RDRRATET5" localSheetId="6">#REF!</definedName>
    <definedName name="RDRRATET5">#REF!</definedName>
    <definedName name="RDRRATET6" localSheetId="6">#REF!</definedName>
    <definedName name="RDRRATET6">#REF!</definedName>
    <definedName name="RDRRATET7" localSheetId="6">#REF!</definedName>
    <definedName name="RDRRATET7">#REF!</definedName>
    <definedName name="RDRRATET8" localSheetId="6">#REF!</definedName>
    <definedName name="RDRRATET8">#REF!</definedName>
    <definedName name="RDRRATET9" localSheetId="6">#REF!</definedName>
    <definedName name="RDRRATET9">#REF!</definedName>
    <definedName name="RDRTYPE" localSheetId="6">#REF!</definedName>
    <definedName name="RDRTYPE">#REF!</definedName>
    <definedName name="RDRUNITS" localSheetId="6">#REF!</definedName>
    <definedName name="RDRUNITS">#REF!</definedName>
    <definedName name="_xlnm.Recorder" localSheetId="6">#REF!</definedName>
    <definedName name="_xlnm.Recorder">#REF!</definedName>
    <definedName name="Reserved_Section" localSheetId="6">#REF!</definedName>
    <definedName name="Reserved_Section">#REF!</definedName>
    <definedName name="RIDERS" localSheetId="6">#REF!</definedName>
    <definedName name="RIDERS">#REF!</definedName>
    <definedName name="RKVAHRDNG" localSheetId="6">#REF!</definedName>
    <definedName name="RKVAHRDNG">#REF!</definedName>
    <definedName name="RTCHTCNTRCTCPCT" localSheetId="6">#REF!</definedName>
    <definedName name="RTCHTCNTRCTCPCT">#REF!</definedName>
    <definedName name="RTCHTFCTR" localSheetId="6">#REF!</definedName>
    <definedName name="RTCHTFCTR">#REF!</definedName>
    <definedName name="RTCHTFCTR2" localSheetId="6">#REF!</definedName>
    <definedName name="RTCHTFCTR2">#REF!</definedName>
    <definedName name="RTCHTHIPREVKW" localSheetId="6">#REF!</definedName>
    <definedName name="RTCHTHIPREVKW">#REF!</definedName>
    <definedName name="RTP_Detail" localSheetId="6">#REF!</definedName>
    <definedName name="RTP_Detail">#REF!</definedName>
    <definedName name="RTPLRKW" localSheetId="6">#REF!</definedName>
    <definedName name="RTPLRKW">#REF!</definedName>
    <definedName name="SDI" localSheetId="6">#REF!</definedName>
    <definedName name="SDI">#REF!</definedName>
    <definedName name="SHLDRPKKW" localSheetId="6">#REF!</definedName>
    <definedName name="SHLDRPKKW">#REF!</definedName>
    <definedName name="SHLDRPKKWDT" localSheetId="6">#REF!</definedName>
    <definedName name="SHLDRPKKWDT">#REF!</definedName>
    <definedName name="SHLDRPKKWTM" localSheetId="6">#REF!</definedName>
    <definedName name="SHLDRPKKWTM">#REF!</definedName>
    <definedName name="SHRDTRNSKWH" localSheetId="6">#REF!</definedName>
    <definedName name="SHRDTRNSKWH">#REF!</definedName>
    <definedName name="SRPLSKWH" localSheetId="6">#REF!</definedName>
    <definedName name="SRPLSKWH">#REF!</definedName>
    <definedName name="STARTDTM" localSheetId="6">#REF!</definedName>
    <definedName name="STARTDTM">#REF!</definedName>
    <definedName name="State" localSheetId="6">#REF!</definedName>
    <definedName name="State">#REF!</definedName>
    <definedName name="STDKW" localSheetId="6">#REF!</definedName>
    <definedName name="STDKW">#REF!</definedName>
    <definedName name="STDKWDT" localSheetId="6">#REF!</definedName>
    <definedName name="STDKWDT">#REF!</definedName>
    <definedName name="STDKWTM" localSheetId="6">#REF!</definedName>
    <definedName name="STDKWTM">#REF!</definedName>
    <definedName name="STRTTIME" localSheetId="6">#REF!</definedName>
    <definedName name="STRTTIME">#REF!</definedName>
    <definedName name="SWP_Proj_Allocators" localSheetId="6">#REF!</definedName>
    <definedName name="SWP_Proj_Allocators">#REF!</definedName>
    <definedName name="SWPallocatorsH" localSheetId="6">#REF!</definedName>
    <definedName name="SWPallocatorsH">#REF!</definedName>
    <definedName name="SWPallocatorsP" localSheetId="6">#REF!</definedName>
    <definedName name="SWPallocatorsP">#REF!</definedName>
    <definedName name="SYSPKKW" localSheetId="6">#REF!</definedName>
    <definedName name="SYSPKKW">#REF!</definedName>
    <definedName name="SYSPKKWDT" localSheetId="6">#REF!</definedName>
    <definedName name="SYSPKKWDT">#REF!</definedName>
    <definedName name="SYSPKKWTM" localSheetId="6">#REF!</definedName>
    <definedName name="SYSPKKWTM">#REF!</definedName>
    <definedName name="TARIFF1" localSheetId="6">#REF!</definedName>
    <definedName name="TARIFF1">#REF!</definedName>
    <definedName name="TARIFF2" localSheetId="6">#REF!</definedName>
    <definedName name="TARIFF2">#REF!</definedName>
    <definedName name="TariffCode" localSheetId="6">#REF!</definedName>
    <definedName name="TariffCode">#REF!</definedName>
    <definedName name="TariffLongName" localSheetId="6">#REF!</definedName>
    <definedName name="TariffLongName">#REF!</definedName>
    <definedName name="TariffShortName" localSheetId="6">#REF!</definedName>
    <definedName name="TariffShortName">#REF!</definedName>
    <definedName name="TAXDATE" localSheetId="6">#REF!</definedName>
    <definedName name="TAXDATE">#REF!</definedName>
    <definedName name="TAXES" localSheetId="6">#REF!</definedName>
    <definedName name="TAXES">#REF!</definedName>
    <definedName name="TAXNAME" localSheetId="6">#REF!</definedName>
    <definedName name="TAXNAME">#REF!</definedName>
    <definedName name="TAXRATE" localSheetId="6">#REF!</definedName>
    <definedName name="TAXRATE">#REF!</definedName>
    <definedName name="TAXTYPE" localSheetId="6">#REF!</definedName>
    <definedName name="TAXTYPE">#REF!</definedName>
    <definedName name="TCst" localSheetId="6">#REF!</definedName>
    <definedName name="TCst">#REF!</definedName>
    <definedName name="TCst1" localSheetId="6">#REF!</definedName>
    <definedName name="TCst1">#REF!</definedName>
    <definedName name="TIRPCCHG" localSheetId="6">#REF!</definedName>
    <definedName name="TIRPCCHG">#REF!</definedName>
    <definedName name="TIRPDCHG1" localSheetId="6">#REF!</definedName>
    <definedName name="TIRPDCHG1">#REF!</definedName>
    <definedName name="TIRPDCHG2" localSheetId="6">#REF!</definedName>
    <definedName name="TIRPDCHG2">#REF!</definedName>
    <definedName name="TIRPECHG1" localSheetId="6">#REF!</definedName>
    <definedName name="TIRPECHG1">#REF!</definedName>
    <definedName name="TIRPECHGB1" localSheetId="6">#REF!</definedName>
    <definedName name="TIRPECHGB1">#REF!</definedName>
    <definedName name="TIRPECHGB2" localSheetId="6">#REF!</definedName>
    <definedName name="TIRPECHGB2">#REF!</definedName>
    <definedName name="TIRPECHGB3" localSheetId="6">#REF!</definedName>
    <definedName name="TIRPECHGB3">#REF!</definedName>
    <definedName name="TIRPMECHG1" localSheetId="6">#REF!</definedName>
    <definedName name="TIRPMECHG1">#REF!</definedName>
    <definedName name="TIRPMINDC" localSheetId="6">#REF!</definedName>
    <definedName name="TIRPMINDC">#REF!</definedName>
    <definedName name="TIRPMINEC" localSheetId="6">#REF!</definedName>
    <definedName name="TIRPMINEC">#REF!</definedName>
    <definedName name="TIRPOFKVA" localSheetId="6">#REF!</definedName>
    <definedName name="TIRPOFKVA">#REF!</definedName>
    <definedName name="TIRPOFKW" localSheetId="6">#REF!</definedName>
    <definedName name="TIRPOFKW">#REF!</definedName>
    <definedName name="TIRPOFKWH" localSheetId="6">#REF!</definedName>
    <definedName name="TIRPOFKWH">#REF!</definedName>
    <definedName name="TIRPOPKWH" localSheetId="6">#REF!</definedName>
    <definedName name="TIRPOPKWH">#REF!</definedName>
    <definedName name="TIRPP1EC" localSheetId="6">#REF!</definedName>
    <definedName name="TIRPP1EC">#REF!</definedName>
    <definedName name="TIRPP2EC" localSheetId="6">#REF!</definedName>
    <definedName name="TIRPP2EC">#REF!</definedName>
    <definedName name="TIRPP3EC" localSheetId="6">#REF!</definedName>
    <definedName name="TIRPP3EC">#REF!</definedName>
    <definedName name="TIRPP4EC" localSheetId="6">#REF!</definedName>
    <definedName name="TIRPP4EC">#REF!</definedName>
    <definedName name="TIRPP5EC" localSheetId="6">#REF!</definedName>
    <definedName name="TIRPP5EC">#REF!</definedName>
    <definedName name="TIRPRCHG" localSheetId="6">#REF!</definedName>
    <definedName name="TIRPRCHG">#REF!</definedName>
    <definedName name="TLsFctr" localSheetId="6">#REF!</definedName>
    <definedName name="TLsFctr">#REF!</definedName>
    <definedName name="TRCRDKWH" localSheetId="6">#REF!</definedName>
    <definedName name="TRCRDKWH">#REF!</definedName>
    <definedName name="TRCRDKWH2P" localSheetId="6">#REF!</definedName>
    <definedName name="TRCRDKWH2P">#REF!</definedName>
    <definedName name="TRFDATE1" localSheetId="6">#REF!</definedName>
    <definedName name="TRFDATE1">#REF!</definedName>
    <definedName name="TRFDATE2" localSheetId="6">#REF!</definedName>
    <definedName name="TRFDATE2">#REF!</definedName>
    <definedName name="TRFNAME1" localSheetId="6">#REF!</definedName>
    <definedName name="TRFNAME1">#REF!</definedName>
    <definedName name="TRFNAME2" localSheetId="6">#REF!</definedName>
    <definedName name="TRFNAME2">#REF!</definedName>
    <definedName name="TRFSHORTNM1" localSheetId="6">#REF!</definedName>
    <definedName name="TRFSHORTNM1">#REF!</definedName>
    <definedName name="TRFSHORTNM2" localSheetId="6">#REF!</definedName>
    <definedName name="TRFSHORTNM2">#REF!</definedName>
    <definedName name="TrnBlkKwhChg1" localSheetId="6">#REF!</definedName>
    <definedName name="TrnBlkKwhChg1">#REF!</definedName>
    <definedName name="TrnBlkKwhChg2" localSheetId="6">#REF!</definedName>
    <definedName name="TrnBlkKwhChg2">#REF!</definedName>
    <definedName name="TrnBlkKwhChg3" localSheetId="6">#REF!</definedName>
    <definedName name="TrnBlkKwhChg3">#REF!</definedName>
    <definedName name="TrnBlkKwhChgT" localSheetId="6">#REF!</definedName>
    <definedName name="TrnBlkKwhChgT">#REF!</definedName>
    <definedName name="TRNCCHG" localSheetId="6">#REF!</definedName>
    <definedName name="TRNCCHG">#REF!</definedName>
    <definedName name="TrnCustChg" localSheetId="6">#REF!</definedName>
    <definedName name="TrnCustChg">#REF!</definedName>
    <definedName name="TRNDCHG1" localSheetId="6">#REF!</definedName>
    <definedName name="TRNDCHG1">#REF!</definedName>
    <definedName name="TRNDCHG2" localSheetId="6">#REF!</definedName>
    <definedName name="TRNDCHG2">#REF!</definedName>
    <definedName name="TrnDmdChg1" localSheetId="6">#REF!</definedName>
    <definedName name="TrnDmdChg1">#REF!</definedName>
    <definedName name="TrnDmdChg2" localSheetId="6">#REF!</definedName>
    <definedName name="TrnDmdChg2">#REF!</definedName>
    <definedName name="TRNECHG1" localSheetId="6">#REF!</definedName>
    <definedName name="TRNECHG1">#REF!</definedName>
    <definedName name="TRNECHGB1" localSheetId="6">#REF!</definedName>
    <definedName name="TRNECHGB1">#REF!</definedName>
    <definedName name="TRNECHGB2" localSheetId="6">#REF!</definedName>
    <definedName name="TRNECHGB2">#REF!</definedName>
    <definedName name="TRNECHGB3" localSheetId="6">#REF!</definedName>
    <definedName name="TRNECHGB3">#REF!</definedName>
    <definedName name="TrnMEChg" localSheetId="6">#REF!</definedName>
    <definedName name="TrnMEChg">#REF!</definedName>
    <definedName name="TRNMECHG1" localSheetId="6">#REF!</definedName>
    <definedName name="TRNMECHG1">#REF!</definedName>
    <definedName name="TRNMINDC" localSheetId="6">#REF!</definedName>
    <definedName name="TRNMINDC">#REF!</definedName>
    <definedName name="TrnMinDChg" localSheetId="6">#REF!</definedName>
    <definedName name="TrnMinDChg">#REF!</definedName>
    <definedName name="TRNMINEC" localSheetId="6">#REF!</definedName>
    <definedName name="TRNMINEC">#REF!</definedName>
    <definedName name="TrnMinEChg" localSheetId="6">#REF!</definedName>
    <definedName name="TrnMinEChg">#REF!</definedName>
    <definedName name="TrnOffPkKwh" localSheetId="6">#REF!</definedName>
    <definedName name="TrnOffPkKwh">#REF!</definedName>
    <definedName name="TRNOFKWH" localSheetId="6">#REF!</definedName>
    <definedName name="TRNOFKWH">#REF!</definedName>
    <definedName name="TrnOnPkKwh" localSheetId="6">#REF!</definedName>
    <definedName name="TrnOnPkKwh">#REF!</definedName>
    <definedName name="TRNOPKWH" localSheetId="6">#REF!</definedName>
    <definedName name="TRNOPKWH">#REF!</definedName>
    <definedName name="TRNP1EC" localSheetId="6">#REF!</definedName>
    <definedName name="TRNP1EC">#REF!</definedName>
    <definedName name="TRNP2EC" localSheetId="6">#REF!</definedName>
    <definedName name="TRNP2EC">#REF!</definedName>
    <definedName name="TRNP3EC" localSheetId="6">#REF!</definedName>
    <definedName name="TRNP3EC">#REF!</definedName>
    <definedName name="TRNP4EC" localSheetId="6">#REF!</definedName>
    <definedName name="TRNP4EC">#REF!</definedName>
    <definedName name="TRNP5EC" localSheetId="6">#REF!</definedName>
    <definedName name="TRNP5EC">#REF!</definedName>
    <definedName name="TrnPL1Chg" localSheetId="6">#REF!</definedName>
    <definedName name="TrnPL1Chg">#REF!</definedName>
    <definedName name="TrnPL2Chg" localSheetId="6">#REF!</definedName>
    <definedName name="TrnPL2Chg">#REF!</definedName>
    <definedName name="TrnPL3Chg" localSheetId="6">#REF!</definedName>
    <definedName name="TrnPL3Chg">#REF!</definedName>
    <definedName name="TrnPL4Chg" localSheetId="6">#REF!</definedName>
    <definedName name="TrnPL4Chg">#REF!</definedName>
    <definedName name="TrnPL5Chg" localSheetId="6">#REF!</definedName>
    <definedName name="TrnPL5Chg">#REF!</definedName>
    <definedName name="TRNRCHG" localSheetId="6">#REF!</definedName>
    <definedName name="TRNRCHG">#REF!</definedName>
    <definedName name="TrnReactiveChg" localSheetId="6">#REF!</definedName>
    <definedName name="TrnReactiveChg">#REF!</definedName>
    <definedName name="TRNSKWTOFPK" localSheetId="6">#REF!</definedName>
    <definedName name="TRNSKWTOFPK">#REF!</definedName>
    <definedName name="TRNSKWTONPK" localSheetId="6">#REF!</definedName>
    <definedName name="TRNSKWTONPK">#REF!</definedName>
    <definedName name="TRNXOFKVA" localSheetId="6">#REF!</definedName>
    <definedName name="TRNXOFKVA">#REF!</definedName>
    <definedName name="TRNXOFKW" localSheetId="6">#REF!</definedName>
    <definedName name="TRNXOFKW">#REF!</definedName>
    <definedName name="TrnXOfpKvaChg" localSheetId="6">#REF!</definedName>
    <definedName name="TrnXOfpKvaChg">#REF!</definedName>
    <definedName name="TrnXOfpKwChg" localSheetId="6">#REF!</definedName>
    <definedName name="TrnXOfpKwChg">#REF!</definedName>
    <definedName name="TTLBSRATETTL" localSheetId="6">#REF!</definedName>
    <definedName name="TTLBSRATETTL">#REF!</definedName>
    <definedName name="TTLCOGENKWH" localSheetId="6">#REF!</definedName>
    <definedName name="TTLCOGENKWH">#REF!</definedName>
    <definedName name="UNBUNDIND" localSheetId="6">#REF!</definedName>
    <definedName name="UNBUNDIND">#REF!</definedName>
    <definedName name="Z_3768C7C8_9953_11DA_B318_000FB55D51DC_.wvu.PrintArea" localSheetId="7" hidden="1">'WS C  - Working Capital'!$A$10:$N$92</definedName>
    <definedName name="Z_3768C7C8_9953_11DA_B318_000FB55D51DC_.wvu.PrintTitles" localSheetId="7" hidden="1">'WS C  - Working Capital'!#REF!</definedName>
    <definedName name="Z_3768C7C8_9953_11DA_B318_000FB55D51DC_.wvu.Rows" localSheetId="7" hidden="1">'WS C  - Working Capital'!#REF!</definedName>
    <definedName name="Z_3BDD6235_B127_4929_8311_BDAF7BB89818_.wvu.PrintArea" localSheetId="7" hidden="1">'WS C  - Working Capital'!$A$10:$N$92</definedName>
    <definedName name="Z_3BDD6235_B127_4929_8311_BDAF7BB89818_.wvu.PrintTitles" localSheetId="7" hidden="1">'WS C  - Working Capital'!#REF!</definedName>
    <definedName name="Z_3BDD6235_B127_4929_8311_BDAF7BB89818_.wvu.Rows" localSheetId="7" hidden="1">'WS C  - Working Capital'!#REF!</definedName>
    <definedName name="Z_B0241363_5C8A_48FC_89A6_56D55586BABE_.wvu.PrintArea" localSheetId="7" hidden="1">'WS C  - Working Capital'!$A$10:$N$92</definedName>
    <definedName name="Z_B0241363_5C8A_48FC_89A6_56D55586BABE_.wvu.PrintTitles" localSheetId="7" hidden="1">'WS C  - Working Capital'!#REF!</definedName>
    <definedName name="Z_B0241363_5C8A_48FC_89A6_56D55586BABE_.wvu.Rows" localSheetId="7" hidden="1">'WS C  - Working Capital'!#REF!</definedName>
    <definedName name="Z_C0EA0F9F_7310_4201_82C9_7B8FC8DB9137_.wvu.PrintArea" localSheetId="7" hidden="1">'WS C  - Working Capital'!$A$10:$N$92</definedName>
    <definedName name="Z_C0EA0F9F_7310_4201_82C9_7B8FC8DB9137_.wvu.PrintTitles" localSheetId="7" hidden="1">'WS C  - Working Capital'!#REF!</definedName>
    <definedName name="Z_C0EA0F9F_7310_4201_82C9_7B8FC8DB9137_.wvu.Rows" localSheetId="7" hidden="1">'WS C  - Working Capital'!#REF!</definedName>
    <definedName name="Z_C5140E12_E05E_4473_9142_42F37320A417_.wvu.Cols" localSheetId="13" hidden="1">'WS H-1-Detail of Tax Amts'!#REF!</definedName>
    <definedName name="Z_C5140E12_E05E_4473_9142_42F37320A417_.wvu.PrintArea" localSheetId="13" hidden="1">'WS H-1-Detail of Tax Amts'!$A$3:$F$130</definedName>
    <definedName name="Z_C5140E12_E05E_4473_9142_42F37320A417_.wvu.PrintArea" localSheetId="15" hidden="1">'WS J PROJECTED RTEP RR'!$A$3:$O$81</definedName>
    <definedName name="Z_C5140E12_E05E_4473_9142_42F37320A417_.wvu.PrintTitles" localSheetId="13" hidden="1">'WS H-1-Detail of Tax Amts'!$3:$7</definedName>
    <definedName name="Zip" localSheetId="6">#REF!</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9" l="1"/>
  <c r="E39" i="9"/>
  <c r="D90" i="39" l="1"/>
  <c r="C90" i="39"/>
  <c r="G90" i="39" l="1"/>
  <c r="P27" i="50" l="1"/>
  <c r="P57" i="50" l="1"/>
  <c r="P32" i="50"/>
  <c r="E67" i="30"/>
  <c r="G148" i="2" l="1"/>
  <c r="P51" i="50" l="1"/>
  <c r="P50" i="50"/>
  <c r="P49" i="50"/>
  <c r="P48" i="50"/>
  <c r="Q47" i="50"/>
  <c r="P26" i="50"/>
  <c r="P25" i="50"/>
  <c r="P24" i="50"/>
  <c r="P23" i="50"/>
  <c r="Q22" i="50"/>
  <c r="I131" i="38" l="1"/>
  <c r="I130" i="38"/>
  <c r="K131" i="38"/>
  <c r="J131" i="38"/>
  <c r="C131" i="38"/>
  <c r="K130" i="38"/>
  <c r="J130" i="38"/>
  <c r="C130" i="38"/>
  <c r="J122" i="38"/>
  <c r="K122" i="38"/>
  <c r="I122" i="38"/>
  <c r="C122" i="38"/>
  <c r="D121" i="38"/>
  <c r="K121" i="38"/>
  <c r="I121" i="38"/>
  <c r="C121" i="38"/>
  <c r="D131" i="38" l="1"/>
  <c r="G131" i="38" s="1"/>
  <c r="D130" i="38"/>
  <c r="G130" i="38" s="1"/>
  <c r="J121" i="38"/>
  <c r="G121" i="38"/>
  <c r="D122" i="38"/>
  <c r="G122" i="38" s="1"/>
  <c r="I97" i="38" l="1"/>
  <c r="K97" i="38"/>
  <c r="J97" i="38"/>
  <c r="C97" i="38"/>
  <c r="I96" i="38"/>
  <c r="I95" i="38"/>
  <c r="I81" i="38"/>
  <c r="K81" i="38"/>
  <c r="J81" i="38"/>
  <c r="C81" i="38"/>
  <c r="J96" i="38"/>
  <c r="J95" i="38"/>
  <c r="J94" i="38"/>
  <c r="K96" i="38"/>
  <c r="K95" i="38"/>
  <c r="K94" i="38"/>
  <c r="C96" i="38"/>
  <c r="C95" i="38"/>
  <c r="I94" i="38"/>
  <c r="C94" i="38"/>
  <c r="D97" i="38" l="1"/>
  <c r="G97" i="38" s="1"/>
  <c r="Q143" i="38"/>
  <c r="D81" i="38"/>
  <c r="G81" i="38" s="1"/>
  <c r="D96" i="38"/>
  <c r="G96" i="38" s="1"/>
  <c r="D95" i="38"/>
  <c r="G95" i="38" s="1"/>
  <c r="D94" i="38"/>
  <c r="G94" i="38" s="1"/>
  <c r="I37" i="38" l="1"/>
  <c r="K37" i="38"/>
  <c r="J37" i="38"/>
  <c r="C37" i="38"/>
  <c r="D37" i="38" l="1"/>
  <c r="G37" i="38" s="1"/>
  <c r="K42" i="39" l="1"/>
  <c r="J42" i="39"/>
  <c r="I42" i="39"/>
  <c r="C42" i="39"/>
  <c r="K35" i="39"/>
  <c r="J35" i="39"/>
  <c r="I35" i="39"/>
  <c r="C35" i="39"/>
  <c r="K25" i="39"/>
  <c r="J25" i="39"/>
  <c r="I25" i="39"/>
  <c r="C25" i="39"/>
  <c r="J45" i="39"/>
  <c r="K45" i="39"/>
  <c r="I45" i="39"/>
  <c r="C45" i="39"/>
  <c r="J19" i="39"/>
  <c r="J18" i="39"/>
  <c r="K18" i="39"/>
  <c r="I18" i="39"/>
  <c r="C18" i="39"/>
  <c r="D54" i="39"/>
  <c r="K54" i="39"/>
  <c r="J54" i="39"/>
  <c r="C54" i="39"/>
  <c r="I52" i="39"/>
  <c r="I51" i="39"/>
  <c r="K52" i="39"/>
  <c r="J52" i="39"/>
  <c r="C52" i="39"/>
  <c r="K51" i="39"/>
  <c r="J51" i="39"/>
  <c r="C51" i="39"/>
  <c r="D34" i="39"/>
  <c r="K34" i="39"/>
  <c r="J34" i="39"/>
  <c r="C34" i="39"/>
  <c r="I22" i="39"/>
  <c r="K22" i="39"/>
  <c r="J22" i="39"/>
  <c r="C22" i="39"/>
  <c r="I19" i="39"/>
  <c r="K19" i="39"/>
  <c r="C19" i="39"/>
  <c r="D42" i="39" l="1"/>
  <c r="G42" i="39" s="1"/>
  <c r="D35" i="39"/>
  <c r="G35" i="39" s="1"/>
  <c r="D25" i="39"/>
  <c r="G25" i="39" s="1"/>
  <c r="D45" i="39"/>
  <c r="G45" i="39" s="1"/>
  <c r="D18" i="39"/>
  <c r="G18" i="39" s="1"/>
  <c r="I54" i="39"/>
  <c r="G54" i="39"/>
  <c r="D52" i="39"/>
  <c r="G52" i="39" s="1"/>
  <c r="D51" i="39"/>
  <c r="G51" i="39" s="1"/>
  <c r="I34" i="39"/>
  <c r="G34" i="39"/>
  <c r="D22" i="39"/>
  <c r="G22" i="39" s="1"/>
  <c r="D19" i="39"/>
  <c r="G19" i="39" s="1"/>
  <c r="F23" i="10" l="1"/>
  <c r="K89" i="6" l="1"/>
  <c r="E89" i="6" s="1"/>
  <c r="J87" i="6"/>
  <c r="K87" i="6" s="1"/>
  <c r="E87" i="6" s="1"/>
  <c r="K86" i="6"/>
  <c r="E86" i="6" s="1"/>
  <c r="K85" i="6"/>
  <c r="E85" i="6" s="1"/>
  <c r="I84" i="6"/>
  <c r="K84" i="6" s="1"/>
  <c r="E84" i="6" s="1"/>
  <c r="K83" i="6"/>
  <c r="E83" i="6" s="1"/>
  <c r="K82" i="6"/>
  <c r="E82" i="6" s="1"/>
  <c r="K81" i="6"/>
  <c r="E81" i="6" s="1"/>
  <c r="K80" i="6"/>
  <c r="E80" i="6" s="1"/>
  <c r="K79" i="6"/>
  <c r="E79" i="6" s="1"/>
  <c r="K78" i="6"/>
  <c r="E78" i="6" s="1"/>
  <c r="K77" i="6"/>
  <c r="E77" i="6" s="1"/>
  <c r="K75" i="6"/>
  <c r="E75" i="6" s="1"/>
  <c r="K74" i="6"/>
  <c r="E74" i="6" s="1"/>
  <c r="K73" i="6"/>
  <c r="E73" i="6" s="1"/>
  <c r="K72" i="6"/>
  <c r="E72" i="6" s="1"/>
  <c r="K71" i="6"/>
  <c r="E71" i="6" s="1"/>
  <c r="E88" i="6"/>
  <c r="J76" i="6"/>
  <c r="K76" i="6" s="1"/>
  <c r="D137" i="38"/>
  <c r="C137" i="38"/>
  <c r="D52" i="38"/>
  <c r="C52" i="38"/>
  <c r="E54" i="9" l="1"/>
  <c r="E52" i="9"/>
  <c r="E51" i="9"/>
  <c r="E53" i="9"/>
  <c r="I70" i="6"/>
  <c r="K70" i="6" s="1"/>
  <c r="E70" i="6" s="1"/>
  <c r="E76" i="6"/>
  <c r="G137" i="38"/>
  <c r="G52" i="38"/>
  <c r="L60" i="50" l="1"/>
  <c r="K60" i="50"/>
  <c r="J60" i="50"/>
  <c r="I60" i="50"/>
  <c r="P56" i="50"/>
  <c r="P55" i="50"/>
  <c r="P46" i="50"/>
  <c r="P44" i="50"/>
  <c r="P40" i="50"/>
  <c r="L35" i="50"/>
  <c r="K35" i="50"/>
  <c r="J35" i="50"/>
  <c r="I35" i="50"/>
  <c r="P31" i="50"/>
  <c r="P30" i="50"/>
  <c r="P21" i="50"/>
  <c r="P19" i="50"/>
  <c r="P18" i="50"/>
  <c r="P15" i="50"/>
  <c r="Q20" i="50" l="1"/>
  <c r="Q42" i="50"/>
  <c r="Q16" i="50"/>
  <c r="M60" i="50"/>
  <c r="Q14" i="50"/>
  <c r="Q17" i="50"/>
  <c r="M35" i="50"/>
  <c r="Q45" i="50"/>
  <c r="O35" i="50"/>
  <c r="N60" i="50"/>
  <c r="O60" i="50"/>
  <c r="Q41" i="50"/>
  <c r="P43" i="50"/>
  <c r="P60" i="50" s="1"/>
  <c r="P13" i="50"/>
  <c r="P35" i="50" s="1"/>
  <c r="N35" i="50"/>
  <c r="Q60" i="50" l="1"/>
  <c r="Q35" i="50"/>
  <c r="F94" i="39"/>
  <c r="E94" i="39"/>
  <c r="O94" i="39"/>
  <c r="N94" i="39"/>
  <c r="M94" i="39"/>
  <c r="A17" i="39"/>
  <c r="A61" i="38"/>
  <c r="F150" i="38"/>
  <c r="E150" i="38"/>
  <c r="O150" i="38"/>
  <c r="N150" i="38"/>
  <c r="M150" i="38"/>
  <c r="F57" i="38"/>
  <c r="E57" i="38"/>
  <c r="O57" i="38"/>
  <c r="N57" i="38"/>
  <c r="M57" i="38"/>
  <c r="A28" i="38"/>
  <c r="A18" i="39" l="1"/>
  <c r="A19" i="39" s="1"/>
  <c r="A20" i="39" s="1"/>
  <c r="A21" i="39" s="1"/>
  <c r="A22" i="39" s="1"/>
  <c r="A23" i="39" s="1"/>
  <c r="G185" i="2"/>
  <c r="E99" i="2"/>
  <c r="H252" i="2"/>
  <c r="I19" i="6"/>
  <c r="G120" i="2" s="1"/>
  <c r="H62" i="35"/>
  <c r="G62" i="35"/>
  <c r="L243" i="2" s="1"/>
  <c r="M42" i="35"/>
  <c r="G90" i="2" s="1"/>
  <c r="L42" i="35"/>
  <c r="G89" i="2" s="1"/>
  <c r="M23" i="35"/>
  <c r="G76" i="2" s="1"/>
  <c r="L23" i="35"/>
  <c r="G75" i="2" s="1"/>
  <c r="A24" i="39" l="1"/>
  <c r="A25" i="39" s="1"/>
  <c r="A26" i="39" s="1"/>
  <c r="A27" i="39" s="1"/>
  <c r="A28" i="39" s="1"/>
  <c r="A29" i="39" s="1"/>
  <c r="A30" i="39" s="1"/>
  <c r="A31" i="39" s="1"/>
  <c r="A32" i="39" s="1"/>
  <c r="L242" i="2"/>
  <c r="L244" i="2" s="1"/>
  <c r="L246" i="2" s="1"/>
  <c r="J89" i="2" s="1"/>
  <c r="L89" i="2" s="1"/>
  <c r="G99" i="2"/>
  <c r="A33" i="39" l="1"/>
  <c r="A34" i="39" s="1"/>
  <c r="A35" i="39" s="1"/>
  <c r="A36" i="39" s="1"/>
  <c r="A37" i="39" s="1"/>
  <c r="A38" i="39" s="1"/>
  <c r="A39" i="39" s="1"/>
  <c r="J75" i="2"/>
  <c r="L75" i="2" s="1"/>
  <c r="J76" i="2"/>
  <c r="L76" i="2" s="1"/>
  <c r="J252" i="2"/>
  <c r="L252" i="2" s="1"/>
  <c r="J90" i="2"/>
  <c r="L90" i="2" s="1"/>
  <c r="J166" i="2"/>
  <c r="L166" i="2" s="1"/>
  <c r="J120" i="2"/>
  <c r="L120" i="2" s="1"/>
  <c r="J184" i="2"/>
  <c r="L184" i="2" s="1"/>
  <c r="A40" i="39" l="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L99" i="2"/>
  <c r="I35" i="30"/>
  <c r="R150" i="38" l="1"/>
  <c r="S150" i="38"/>
  <c r="Q150" i="38"/>
  <c r="C61" i="38"/>
  <c r="D61" i="38"/>
  <c r="I61" i="38"/>
  <c r="J61" i="38"/>
  <c r="K61" i="38"/>
  <c r="C62" i="38"/>
  <c r="D62" i="38"/>
  <c r="I62" i="38"/>
  <c r="J62" i="38"/>
  <c r="K62" i="38"/>
  <c r="C63" i="38"/>
  <c r="D63" i="38"/>
  <c r="I63" i="38"/>
  <c r="J63" i="38"/>
  <c r="K63" i="38"/>
  <c r="C64" i="38"/>
  <c r="D64" i="38"/>
  <c r="I64" i="38"/>
  <c r="J64" i="38"/>
  <c r="K64" i="38"/>
  <c r="C65" i="38"/>
  <c r="D65" i="38"/>
  <c r="I65" i="38"/>
  <c r="J65" i="38"/>
  <c r="K65" i="38"/>
  <c r="C66" i="38"/>
  <c r="D66" i="38"/>
  <c r="I66" i="38"/>
  <c r="J66" i="38"/>
  <c r="K66" i="38"/>
  <c r="C67" i="38"/>
  <c r="D67" i="38"/>
  <c r="I67" i="38"/>
  <c r="J67" i="38"/>
  <c r="K67" i="38"/>
  <c r="C68" i="38"/>
  <c r="D68" i="38"/>
  <c r="I68" i="38"/>
  <c r="J68" i="38"/>
  <c r="K68" i="38"/>
  <c r="C69" i="38"/>
  <c r="D69" i="38"/>
  <c r="I69" i="38"/>
  <c r="J69" i="38"/>
  <c r="K69" i="38"/>
  <c r="C70" i="38"/>
  <c r="D70" i="38"/>
  <c r="I70" i="38"/>
  <c r="J70" i="38"/>
  <c r="K70" i="38"/>
  <c r="C71" i="38"/>
  <c r="D71" i="38"/>
  <c r="I71" i="38"/>
  <c r="J71" i="38"/>
  <c r="K71" i="38"/>
  <c r="C72" i="38"/>
  <c r="D72" i="38"/>
  <c r="I72" i="38"/>
  <c r="J72" i="38"/>
  <c r="K72" i="38"/>
  <c r="C73" i="38"/>
  <c r="D73" i="38"/>
  <c r="I73" i="38"/>
  <c r="J73" i="38"/>
  <c r="K73" i="38"/>
  <c r="C74" i="38"/>
  <c r="D74" i="38"/>
  <c r="I74" i="38"/>
  <c r="J74" i="38"/>
  <c r="K74" i="38"/>
  <c r="C75" i="38"/>
  <c r="D75" i="38"/>
  <c r="I75" i="38"/>
  <c r="J75" i="38"/>
  <c r="K75" i="38"/>
  <c r="C76" i="38"/>
  <c r="D76" i="38"/>
  <c r="I76" i="38"/>
  <c r="J76" i="38"/>
  <c r="K76" i="38"/>
  <c r="C77" i="38"/>
  <c r="D77" i="38"/>
  <c r="I77" i="38"/>
  <c r="J77" i="38"/>
  <c r="K77" i="38"/>
  <c r="C78" i="38"/>
  <c r="D78" i="38"/>
  <c r="I78" i="38"/>
  <c r="J78" i="38"/>
  <c r="K78" i="38"/>
  <c r="C79" i="38"/>
  <c r="D79" i="38"/>
  <c r="I79" i="38"/>
  <c r="J79" i="38"/>
  <c r="K79" i="38"/>
  <c r="C80" i="38"/>
  <c r="D80" i="38"/>
  <c r="I80" i="38"/>
  <c r="J80" i="38"/>
  <c r="K80" i="38"/>
  <c r="C82" i="38"/>
  <c r="D82" i="38"/>
  <c r="I82" i="38"/>
  <c r="J82" i="38"/>
  <c r="K82" i="38"/>
  <c r="C83" i="38"/>
  <c r="D83" i="38"/>
  <c r="I83" i="38"/>
  <c r="J83" i="38"/>
  <c r="K83" i="38"/>
  <c r="C84" i="38"/>
  <c r="D84" i="38"/>
  <c r="I84" i="38"/>
  <c r="J84" i="38"/>
  <c r="K84" i="38"/>
  <c r="C85" i="38"/>
  <c r="D85" i="38"/>
  <c r="I85" i="38"/>
  <c r="J85" i="38"/>
  <c r="K85" i="38"/>
  <c r="C86" i="38"/>
  <c r="D86" i="38"/>
  <c r="I86" i="38"/>
  <c r="J86" i="38"/>
  <c r="K86" i="38"/>
  <c r="C87" i="38"/>
  <c r="D87" i="38"/>
  <c r="I87" i="38"/>
  <c r="J87" i="38"/>
  <c r="K87" i="38"/>
  <c r="C88" i="38"/>
  <c r="D88" i="38"/>
  <c r="I88" i="38"/>
  <c r="J88" i="38"/>
  <c r="K88" i="38"/>
  <c r="C89" i="38"/>
  <c r="D89" i="38"/>
  <c r="I89" i="38"/>
  <c r="J89" i="38"/>
  <c r="K89" i="38"/>
  <c r="C90" i="38"/>
  <c r="D90" i="38"/>
  <c r="I90" i="38"/>
  <c r="J90" i="38"/>
  <c r="K90" i="38"/>
  <c r="C91" i="38"/>
  <c r="D91" i="38"/>
  <c r="I91" i="38"/>
  <c r="J91" i="38"/>
  <c r="K91" i="38"/>
  <c r="C92" i="38"/>
  <c r="D92" i="38"/>
  <c r="I92" i="38"/>
  <c r="J92" i="38"/>
  <c r="K92" i="38"/>
  <c r="C93" i="38"/>
  <c r="D93" i="38"/>
  <c r="I93" i="38"/>
  <c r="J93" i="38"/>
  <c r="K93" i="38"/>
  <c r="C98" i="38"/>
  <c r="D98" i="38"/>
  <c r="I98" i="38"/>
  <c r="J98" i="38"/>
  <c r="K98" i="38"/>
  <c r="C99" i="38"/>
  <c r="D99" i="38"/>
  <c r="I99" i="38"/>
  <c r="J99" i="38"/>
  <c r="K99" i="38"/>
  <c r="C100" i="38"/>
  <c r="D100" i="38"/>
  <c r="I100" i="38"/>
  <c r="J100" i="38"/>
  <c r="K100" i="38"/>
  <c r="C101" i="38"/>
  <c r="D101" i="38"/>
  <c r="I101" i="38"/>
  <c r="J101" i="38"/>
  <c r="K101" i="38"/>
  <c r="C102" i="38"/>
  <c r="D102" i="38"/>
  <c r="I102" i="38"/>
  <c r="J102" i="38"/>
  <c r="K102" i="38"/>
  <c r="C103" i="38"/>
  <c r="D103" i="38"/>
  <c r="I103" i="38"/>
  <c r="J103" i="38"/>
  <c r="K103" i="38"/>
  <c r="C104" i="38"/>
  <c r="D104" i="38"/>
  <c r="I104" i="38"/>
  <c r="J104" i="38"/>
  <c r="K104" i="38"/>
  <c r="C105" i="38"/>
  <c r="D105" i="38"/>
  <c r="I105" i="38"/>
  <c r="J105" i="38"/>
  <c r="K105" i="38"/>
  <c r="C106" i="38"/>
  <c r="D106" i="38"/>
  <c r="I106" i="38"/>
  <c r="J106" i="38"/>
  <c r="K106" i="38"/>
  <c r="C107" i="38"/>
  <c r="D107" i="38"/>
  <c r="I107" i="38"/>
  <c r="J107" i="38"/>
  <c r="K107" i="38"/>
  <c r="C108" i="38"/>
  <c r="D108" i="38"/>
  <c r="I108" i="38"/>
  <c r="J108" i="38"/>
  <c r="K108" i="38"/>
  <c r="C109" i="38"/>
  <c r="D109" i="38"/>
  <c r="I109" i="38"/>
  <c r="J109" i="38"/>
  <c r="K109" i="38"/>
  <c r="C110" i="38"/>
  <c r="D110" i="38"/>
  <c r="I110" i="38"/>
  <c r="J110" i="38"/>
  <c r="K110" i="38"/>
  <c r="C111" i="38"/>
  <c r="D111" i="38"/>
  <c r="I111" i="38"/>
  <c r="J111" i="38"/>
  <c r="K111" i="38"/>
  <c r="C112" i="38"/>
  <c r="D112" i="38"/>
  <c r="I112" i="38"/>
  <c r="J112" i="38"/>
  <c r="K112" i="38"/>
  <c r="C113" i="38"/>
  <c r="D113" i="38"/>
  <c r="I113" i="38"/>
  <c r="J113" i="38"/>
  <c r="K113" i="38"/>
  <c r="C114" i="38"/>
  <c r="D114" i="38"/>
  <c r="I114" i="38"/>
  <c r="J114" i="38"/>
  <c r="K114" i="38"/>
  <c r="C115" i="38"/>
  <c r="D115" i="38"/>
  <c r="I115" i="38"/>
  <c r="J115" i="38"/>
  <c r="K115" i="38"/>
  <c r="C116" i="38"/>
  <c r="D116" i="38"/>
  <c r="I116" i="38"/>
  <c r="J116" i="38"/>
  <c r="K116" i="38"/>
  <c r="C117" i="38"/>
  <c r="D117" i="38"/>
  <c r="I117" i="38"/>
  <c r="J117" i="38"/>
  <c r="K117" i="38"/>
  <c r="C118" i="38"/>
  <c r="D118" i="38"/>
  <c r="I118" i="38"/>
  <c r="J118" i="38"/>
  <c r="K118" i="38"/>
  <c r="C119" i="38"/>
  <c r="D119" i="38"/>
  <c r="I119" i="38"/>
  <c r="J119" i="38"/>
  <c r="K119" i="38"/>
  <c r="C120" i="38"/>
  <c r="D120" i="38"/>
  <c r="I120" i="38"/>
  <c r="J120" i="38"/>
  <c r="K120" i="38"/>
  <c r="C123" i="38"/>
  <c r="D123" i="38"/>
  <c r="I123" i="38"/>
  <c r="J123" i="38"/>
  <c r="K123" i="38"/>
  <c r="C124" i="38"/>
  <c r="D124" i="38"/>
  <c r="I124" i="38"/>
  <c r="J124" i="38"/>
  <c r="K124" i="38"/>
  <c r="C125" i="38"/>
  <c r="D125" i="38"/>
  <c r="I125" i="38"/>
  <c r="J125" i="38"/>
  <c r="K125" i="38"/>
  <c r="C126" i="38"/>
  <c r="D126" i="38"/>
  <c r="I126" i="38"/>
  <c r="J126" i="38"/>
  <c r="K126" i="38"/>
  <c r="C127" i="38"/>
  <c r="D127" i="38"/>
  <c r="I127" i="38"/>
  <c r="J127" i="38"/>
  <c r="K127" i="38"/>
  <c r="C128" i="38"/>
  <c r="D128" i="38"/>
  <c r="I128" i="38"/>
  <c r="J128" i="38"/>
  <c r="K128" i="38"/>
  <c r="C129" i="38"/>
  <c r="D129" i="38"/>
  <c r="I129" i="38"/>
  <c r="J129" i="38"/>
  <c r="K129" i="38"/>
  <c r="J150" i="38" l="1"/>
  <c r="K150" i="38"/>
  <c r="C150" i="38"/>
  <c r="I150" i="38"/>
  <c r="G107" i="38"/>
  <c r="G91" i="38"/>
  <c r="D150" i="38"/>
  <c r="G116" i="38"/>
  <c r="G109" i="38"/>
  <c r="G120" i="38"/>
  <c r="G67" i="38"/>
  <c r="G61" i="38"/>
  <c r="G63" i="38"/>
  <c r="G104" i="38"/>
  <c r="G79" i="38"/>
  <c r="G124" i="38"/>
  <c r="G87" i="38"/>
  <c r="G70" i="38"/>
  <c r="G62" i="38"/>
  <c r="G113" i="38"/>
  <c r="G127" i="38"/>
  <c r="G111" i="38"/>
  <c r="G125" i="38"/>
  <c r="G89" i="38"/>
  <c r="G80" i="38"/>
  <c r="G84" i="38"/>
  <c r="G119" i="38"/>
  <c r="G93" i="38"/>
  <c r="G100" i="38"/>
  <c r="G73" i="38"/>
  <c r="G129" i="38"/>
  <c r="G76" i="38"/>
  <c r="G74" i="38"/>
  <c r="G112" i="38"/>
  <c r="G71" i="38"/>
  <c r="G78" i="38"/>
  <c r="G75" i="38"/>
  <c r="G72" i="38"/>
  <c r="G64" i="38"/>
  <c r="G90" i="38"/>
  <c r="G101" i="38"/>
  <c r="G98" i="38"/>
  <c r="G85" i="38"/>
  <c r="G126" i="38"/>
  <c r="G66" i="38"/>
  <c r="G110" i="38"/>
  <c r="G88" i="38"/>
  <c r="G123" i="38"/>
  <c r="G115" i="38"/>
  <c r="G103" i="38"/>
  <c r="G128" i="38"/>
  <c r="G117" i="38"/>
  <c r="G108" i="38"/>
  <c r="G105" i="38"/>
  <c r="G99" i="38"/>
  <c r="G92" i="38"/>
  <c r="G83" i="38"/>
  <c r="G68" i="38"/>
  <c r="G102" i="38"/>
  <c r="G65" i="38"/>
  <c r="G106" i="38"/>
  <c r="G69" i="38"/>
  <c r="G114" i="38"/>
  <c r="G118" i="38"/>
  <c r="G82" i="38"/>
  <c r="G77" i="38"/>
  <c r="G86" i="38"/>
  <c r="R94" i="39"/>
  <c r="S94" i="39"/>
  <c r="Q94" i="39"/>
  <c r="R57" i="38"/>
  <c r="S57" i="38"/>
  <c r="Q57" i="38"/>
  <c r="C28" i="38"/>
  <c r="D28" i="38"/>
  <c r="I28" i="38"/>
  <c r="J28" i="38"/>
  <c r="K28" i="38"/>
  <c r="C29" i="38"/>
  <c r="D29" i="38"/>
  <c r="I29" i="38"/>
  <c r="J29" i="38"/>
  <c r="K29" i="38"/>
  <c r="C30" i="38"/>
  <c r="D30" i="38"/>
  <c r="I30" i="38"/>
  <c r="J30" i="38"/>
  <c r="K30" i="38"/>
  <c r="C31" i="38"/>
  <c r="C57" i="38" s="1"/>
  <c r="D31" i="38"/>
  <c r="D57" i="38" s="1"/>
  <c r="I31" i="38"/>
  <c r="I57" i="38" s="1"/>
  <c r="J31" i="38"/>
  <c r="J57" i="38" s="1"/>
  <c r="K31" i="38"/>
  <c r="K57" i="38" s="1"/>
  <c r="C32" i="38"/>
  <c r="D32" i="38"/>
  <c r="I32" i="38"/>
  <c r="J32" i="38"/>
  <c r="K32" i="38"/>
  <c r="C33" i="38"/>
  <c r="D33" i="38"/>
  <c r="I33" i="38"/>
  <c r="J33" i="38"/>
  <c r="K33" i="38"/>
  <c r="C34" i="38"/>
  <c r="D34" i="38"/>
  <c r="I34" i="38"/>
  <c r="J34" i="38"/>
  <c r="K34" i="38"/>
  <c r="C35" i="38"/>
  <c r="D35" i="38"/>
  <c r="I35" i="38"/>
  <c r="J35" i="38"/>
  <c r="K35" i="38"/>
  <c r="C36" i="38"/>
  <c r="D36" i="38"/>
  <c r="I36" i="38"/>
  <c r="J36" i="38"/>
  <c r="K36" i="38"/>
  <c r="C38" i="38"/>
  <c r="D38" i="38"/>
  <c r="I38" i="38"/>
  <c r="J38" i="38"/>
  <c r="K38" i="38"/>
  <c r="C39" i="38"/>
  <c r="D39" i="38"/>
  <c r="I39" i="38"/>
  <c r="J39" i="38"/>
  <c r="K39" i="38"/>
  <c r="C40" i="38"/>
  <c r="D40" i="38"/>
  <c r="I40" i="38"/>
  <c r="J40" i="38"/>
  <c r="K40" i="38"/>
  <c r="C41" i="38"/>
  <c r="D41" i="38"/>
  <c r="I41" i="38"/>
  <c r="J41" i="38"/>
  <c r="K41" i="38"/>
  <c r="C42" i="38"/>
  <c r="D42" i="38"/>
  <c r="I42" i="38"/>
  <c r="J42" i="38"/>
  <c r="K42" i="38"/>
  <c r="C43" i="38"/>
  <c r="D43" i="38"/>
  <c r="I43" i="38"/>
  <c r="J43" i="38"/>
  <c r="K43" i="38"/>
  <c r="C44" i="38"/>
  <c r="D44" i="38"/>
  <c r="I44" i="38"/>
  <c r="J44" i="38"/>
  <c r="K44" i="38"/>
  <c r="C45" i="38"/>
  <c r="D45" i="38"/>
  <c r="I45" i="38"/>
  <c r="J45" i="38"/>
  <c r="K45" i="38"/>
  <c r="C46" i="38"/>
  <c r="D46" i="38"/>
  <c r="I46" i="38"/>
  <c r="J46" i="38"/>
  <c r="K46" i="38"/>
  <c r="C47" i="38"/>
  <c r="D47" i="38"/>
  <c r="I47" i="38"/>
  <c r="J47" i="38"/>
  <c r="K47" i="38"/>
  <c r="C17" i="39"/>
  <c r="D17" i="39"/>
  <c r="I17" i="39"/>
  <c r="J17" i="39"/>
  <c r="K17" i="39"/>
  <c r="C20" i="39"/>
  <c r="D20" i="39"/>
  <c r="I20" i="39"/>
  <c r="J20" i="39"/>
  <c r="K20" i="39"/>
  <c r="C21" i="39"/>
  <c r="D21" i="39"/>
  <c r="I21" i="39"/>
  <c r="J21" i="39"/>
  <c r="K21" i="39"/>
  <c r="C23" i="39"/>
  <c r="D23" i="39"/>
  <c r="I23" i="39"/>
  <c r="J23" i="39"/>
  <c r="K23" i="39"/>
  <c r="C24" i="39"/>
  <c r="D24" i="39"/>
  <c r="I24" i="39"/>
  <c r="J24" i="39"/>
  <c r="K24" i="39"/>
  <c r="C26" i="39"/>
  <c r="D26" i="39"/>
  <c r="I26" i="39"/>
  <c r="J26" i="39"/>
  <c r="K26" i="39"/>
  <c r="C27" i="39"/>
  <c r="D27" i="39"/>
  <c r="I27" i="39"/>
  <c r="J27" i="39"/>
  <c r="K27" i="39"/>
  <c r="C28" i="39"/>
  <c r="D28" i="39"/>
  <c r="I28" i="39"/>
  <c r="J28" i="39"/>
  <c r="K28" i="39"/>
  <c r="C29" i="39"/>
  <c r="D29" i="39"/>
  <c r="I29" i="39"/>
  <c r="J29" i="39"/>
  <c r="K29" i="39"/>
  <c r="C30" i="39"/>
  <c r="D30" i="39"/>
  <c r="I30" i="39"/>
  <c r="J30" i="39"/>
  <c r="K30" i="39"/>
  <c r="C31" i="39"/>
  <c r="D31" i="39"/>
  <c r="I31" i="39"/>
  <c r="J31" i="39"/>
  <c r="K31" i="39"/>
  <c r="C32" i="39"/>
  <c r="D32" i="39"/>
  <c r="I32" i="39"/>
  <c r="J32" i="39"/>
  <c r="K32" i="39"/>
  <c r="C33" i="39"/>
  <c r="D33" i="39"/>
  <c r="I33" i="39"/>
  <c r="J33" i="39"/>
  <c r="K33" i="39"/>
  <c r="C36" i="39"/>
  <c r="D36" i="39"/>
  <c r="I36" i="39"/>
  <c r="J36" i="39"/>
  <c r="K36" i="39"/>
  <c r="C37" i="39"/>
  <c r="D37" i="39"/>
  <c r="I37" i="39"/>
  <c r="J37" i="39"/>
  <c r="K37" i="39"/>
  <c r="C38" i="39"/>
  <c r="D38" i="39"/>
  <c r="I38" i="39"/>
  <c r="J38" i="39"/>
  <c r="K38" i="39"/>
  <c r="C39" i="39"/>
  <c r="D39" i="39"/>
  <c r="I39" i="39"/>
  <c r="J39" i="39"/>
  <c r="K39" i="39"/>
  <c r="C40" i="39"/>
  <c r="D40" i="39"/>
  <c r="I40" i="39"/>
  <c r="J40" i="39"/>
  <c r="K40" i="39"/>
  <c r="C41" i="39"/>
  <c r="D41" i="39"/>
  <c r="I41" i="39"/>
  <c r="J41" i="39"/>
  <c r="K41" i="39"/>
  <c r="C43" i="39"/>
  <c r="D43" i="39"/>
  <c r="I43" i="39"/>
  <c r="J43" i="39"/>
  <c r="K43" i="39"/>
  <c r="C44" i="39"/>
  <c r="D44" i="39"/>
  <c r="I44" i="39"/>
  <c r="J44" i="39"/>
  <c r="K44" i="39"/>
  <c r="C46" i="39"/>
  <c r="D46" i="39"/>
  <c r="I46" i="39"/>
  <c r="J46" i="39"/>
  <c r="K46" i="39"/>
  <c r="C47" i="39"/>
  <c r="D47" i="39"/>
  <c r="I47" i="39"/>
  <c r="J47" i="39"/>
  <c r="K47" i="39"/>
  <c r="C48" i="39"/>
  <c r="D48" i="39"/>
  <c r="I48" i="39"/>
  <c r="J48" i="39"/>
  <c r="K48" i="39"/>
  <c r="C49" i="39"/>
  <c r="D49" i="39"/>
  <c r="I49" i="39"/>
  <c r="J49" i="39"/>
  <c r="K49" i="39"/>
  <c r="C50" i="39"/>
  <c r="D50" i="39"/>
  <c r="I50" i="39"/>
  <c r="J50" i="39"/>
  <c r="K50" i="39"/>
  <c r="C53" i="39"/>
  <c r="D53" i="39"/>
  <c r="I53" i="39"/>
  <c r="J53" i="39"/>
  <c r="K53" i="39"/>
  <c r="C55" i="39"/>
  <c r="D55" i="39"/>
  <c r="I55" i="39"/>
  <c r="J55" i="39"/>
  <c r="K55" i="39"/>
  <c r="C56" i="39"/>
  <c r="D56" i="39"/>
  <c r="I56" i="39"/>
  <c r="J56" i="39"/>
  <c r="K56" i="39"/>
  <c r="C57" i="39"/>
  <c r="D57" i="39"/>
  <c r="I57" i="39"/>
  <c r="J57" i="39"/>
  <c r="K57" i="39"/>
  <c r="C58" i="39"/>
  <c r="D58" i="39"/>
  <c r="I58" i="39"/>
  <c r="J58" i="39"/>
  <c r="K58" i="39"/>
  <c r="C59" i="39"/>
  <c r="C94" i="39" s="1"/>
  <c r="D59" i="39"/>
  <c r="D94" i="39" s="1"/>
  <c r="I59" i="39"/>
  <c r="I94" i="39" s="1"/>
  <c r="J59" i="39"/>
  <c r="J94" i="39" s="1"/>
  <c r="K59" i="39"/>
  <c r="K94" i="39" s="1"/>
  <c r="C60" i="39"/>
  <c r="D60" i="39"/>
  <c r="I60" i="39"/>
  <c r="J60" i="39"/>
  <c r="K60" i="39"/>
  <c r="C61" i="39"/>
  <c r="D61" i="39"/>
  <c r="I61" i="39"/>
  <c r="J61" i="39"/>
  <c r="K61" i="39"/>
  <c r="C62" i="39"/>
  <c r="D62" i="39"/>
  <c r="I62" i="39"/>
  <c r="J62" i="39"/>
  <c r="K62" i="39"/>
  <c r="C63" i="39"/>
  <c r="D63" i="39"/>
  <c r="I63" i="39"/>
  <c r="J63" i="39"/>
  <c r="K63" i="39"/>
  <c r="C64" i="39"/>
  <c r="D64" i="39"/>
  <c r="I64" i="39"/>
  <c r="J64" i="39"/>
  <c r="K64" i="39"/>
  <c r="C65" i="39"/>
  <c r="D65" i="39"/>
  <c r="I65" i="39"/>
  <c r="J65" i="39"/>
  <c r="K65" i="39"/>
  <c r="C66" i="39"/>
  <c r="D66" i="39"/>
  <c r="I66" i="39"/>
  <c r="J66" i="39"/>
  <c r="K66" i="39"/>
  <c r="C67" i="39"/>
  <c r="D67" i="39"/>
  <c r="I67" i="39"/>
  <c r="J67" i="39"/>
  <c r="K67" i="39"/>
  <c r="C68" i="39"/>
  <c r="D68" i="39"/>
  <c r="I68" i="39"/>
  <c r="J68" i="39"/>
  <c r="K68" i="39"/>
  <c r="C69" i="39"/>
  <c r="D69" i="39"/>
  <c r="I69" i="39"/>
  <c r="J69" i="39"/>
  <c r="K69" i="39"/>
  <c r="C70" i="39"/>
  <c r="D70" i="39"/>
  <c r="I70" i="39"/>
  <c r="J70" i="39"/>
  <c r="K70" i="39"/>
  <c r="C71" i="39"/>
  <c r="D71" i="39"/>
  <c r="I71" i="39"/>
  <c r="J71" i="39"/>
  <c r="K71" i="39"/>
  <c r="C72" i="39"/>
  <c r="D72" i="39"/>
  <c r="I72" i="39"/>
  <c r="J72" i="39"/>
  <c r="K72" i="39"/>
  <c r="C73" i="39"/>
  <c r="D73" i="39"/>
  <c r="I73" i="39"/>
  <c r="J73" i="39"/>
  <c r="K73" i="39"/>
  <c r="C74" i="39"/>
  <c r="D74" i="39"/>
  <c r="I74" i="39"/>
  <c r="J74" i="39"/>
  <c r="K74" i="39"/>
  <c r="C75" i="39"/>
  <c r="D75" i="39"/>
  <c r="I75" i="39"/>
  <c r="J75" i="39"/>
  <c r="K75" i="39"/>
  <c r="C76" i="39"/>
  <c r="D76" i="39"/>
  <c r="I76" i="39"/>
  <c r="J76" i="39"/>
  <c r="K76" i="39"/>
  <c r="C77" i="39"/>
  <c r="D77" i="39"/>
  <c r="I77" i="39"/>
  <c r="J77" i="39"/>
  <c r="K77" i="39"/>
  <c r="C78" i="39"/>
  <c r="D78" i="39"/>
  <c r="I78" i="39"/>
  <c r="J78" i="39"/>
  <c r="K78" i="39"/>
  <c r="C79" i="39"/>
  <c r="D79" i="39"/>
  <c r="I79" i="39"/>
  <c r="J79" i="39"/>
  <c r="K79" i="39"/>
  <c r="G150" i="38" l="1"/>
  <c r="G46" i="38"/>
  <c r="G30" i="38"/>
  <c r="G28" i="38"/>
  <c r="G43" i="38"/>
  <c r="G34" i="38"/>
  <c r="G35" i="38"/>
  <c r="G40" i="38"/>
  <c r="G31" i="38"/>
  <c r="G57" i="38" s="1"/>
  <c r="G44" i="38"/>
  <c r="G41" i="38"/>
  <c r="G47" i="38"/>
  <c r="G45" i="38"/>
  <c r="G42" i="38"/>
  <c r="G39" i="38"/>
  <c r="G32" i="38"/>
  <c r="G29" i="38"/>
  <c r="G36" i="38"/>
  <c r="G33" i="38"/>
  <c r="G38" i="38"/>
  <c r="G76" i="39"/>
  <c r="G39" i="39"/>
  <c r="G29" i="39"/>
  <c r="G48" i="39"/>
  <c r="G38" i="39"/>
  <c r="G79" i="39"/>
  <c r="G55" i="39"/>
  <c r="G43" i="39"/>
  <c r="G32" i="39"/>
  <c r="G56" i="39"/>
  <c r="G41" i="39"/>
  <c r="G68" i="39"/>
  <c r="G60" i="39"/>
  <c r="G71" i="39"/>
  <c r="G63" i="39"/>
  <c r="G49" i="39"/>
  <c r="G69" i="39"/>
  <c r="G78" i="39"/>
  <c r="G75" i="39"/>
  <c r="G44" i="39"/>
  <c r="G23" i="39"/>
  <c r="G17" i="39"/>
  <c r="G64" i="39"/>
  <c r="G72" i="39"/>
  <c r="G46" i="39"/>
  <c r="G33" i="39"/>
  <c r="G67" i="39"/>
  <c r="G50" i="39"/>
  <c r="G28" i="39"/>
  <c r="G62" i="39"/>
  <c r="G59" i="39"/>
  <c r="G94" i="39" s="1"/>
  <c r="G21" i="39"/>
  <c r="G24" i="39"/>
  <c r="G77" i="39"/>
  <c r="G70" i="39"/>
  <c r="G61" i="39"/>
  <c r="G53" i="39"/>
  <c r="G40" i="39"/>
  <c r="G31" i="39"/>
  <c r="G20" i="39"/>
  <c r="G74" i="39"/>
  <c r="G58" i="39"/>
  <c r="G37" i="39"/>
  <c r="G26" i="39"/>
  <c r="G65" i="39"/>
  <c r="G73" i="39"/>
  <c r="G66" i="39"/>
  <c r="G57" i="39"/>
  <c r="G47" i="39"/>
  <c r="G36" i="39"/>
  <c r="G27" i="39"/>
  <c r="G30" i="39"/>
  <c r="F27" i="10" l="1"/>
  <c r="F15" i="10"/>
  <c r="F11" i="10" l="1"/>
  <c r="F19" i="10"/>
  <c r="F34" i="10" l="1"/>
  <c r="K60" i="6" l="1"/>
  <c r="E60" i="6" l="1"/>
  <c r="E38" i="9" l="1"/>
  <c r="E37" i="9"/>
  <c r="E41" i="9"/>
  <c r="D91" i="6" l="1"/>
  <c r="F38" i="52" l="1"/>
  <c r="D38" i="52"/>
  <c r="H36" i="52"/>
  <c r="L33" i="52"/>
  <c r="N33" i="52" s="1"/>
  <c r="H33" i="52"/>
  <c r="J31" i="52"/>
  <c r="J36" i="52" s="1"/>
  <c r="H31" i="52"/>
  <c r="F27" i="52"/>
  <c r="D24" i="52"/>
  <c r="D25" i="52" s="1"/>
  <c r="L21" i="52"/>
  <c r="N21" i="52" s="1"/>
  <c r="H21" i="52"/>
  <c r="L19" i="52"/>
  <c r="N19" i="52" s="1"/>
  <c r="H19" i="52"/>
  <c r="J17" i="52"/>
  <c r="J25" i="52" s="1"/>
  <c r="D17" i="52"/>
  <c r="A16" i="52"/>
  <c r="A17" i="52" s="1"/>
  <c r="A19" i="52" s="1"/>
  <c r="A21" i="52" s="1"/>
  <c r="A23" i="52" s="1"/>
  <c r="A25" i="52" s="1"/>
  <c r="A27" i="52" s="1"/>
  <c r="A31" i="52" s="1"/>
  <c r="A33" i="52" s="1"/>
  <c r="A36" i="52" s="1"/>
  <c r="A38" i="52" s="1"/>
  <c r="D27" i="52" l="1"/>
  <c r="L31" i="52"/>
  <c r="N31" i="52" s="1"/>
  <c r="L17" i="52"/>
  <c r="N17" i="52" s="1"/>
  <c r="L25" i="52"/>
  <c r="J27" i="52"/>
  <c r="L36" i="52"/>
  <c r="N36" i="52" s="1"/>
  <c r="J38" i="52"/>
  <c r="H17" i="52"/>
  <c r="H25" i="52"/>
  <c r="L27" i="52" l="1"/>
  <c r="N38" i="52"/>
  <c r="N25" i="52"/>
  <c r="N27" i="52" s="1"/>
  <c r="L38" i="52"/>
  <c r="C80" i="39" l="1"/>
  <c r="E81" i="39" s="1"/>
  <c r="C81" i="39" s="1"/>
  <c r="J132" i="38"/>
  <c r="J48" i="38"/>
  <c r="C48" i="38"/>
  <c r="E49" i="38" l="1"/>
  <c r="C49" i="38" l="1"/>
  <c r="I55" i="6" l="1"/>
  <c r="I41" i="6"/>
  <c r="E42" i="9" l="1"/>
  <c r="E67" i="9"/>
  <c r="E68" i="9"/>
  <c r="E69" i="9"/>
  <c r="E66" i="9"/>
  <c r="E48" i="9"/>
  <c r="E49" i="9"/>
  <c r="E50" i="9"/>
  <c r="E47" i="9"/>
  <c r="D44" i="9"/>
  <c r="G162" i="2" s="1"/>
  <c r="L46" i="2"/>
  <c r="L45" i="2"/>
  <c r="E59" i="6"/>
  <c r="J58" i="6"/>
  <c r="K58" i="6" s="1"/>
  <c r="E58" i="6" s="1"/>
  <c r="K46" i="6"/>
  <c r="J47" i="6"/>
  <c r="K47" i="6" s="1"/>
  <c r="N143" i="38"/>
  <c r="O56" i="38"/>
  <c r="N56" i="38"/>
  <c r="M56" i="38"/>
  <c r="O23" i="38"/>
  <c r="N23" i="38"/>
  <c r="M23" i="38"/>
  <c r="E70" i="9" l="1"/>
  <c r="G25" i="5"/>
  <c r="G27" i="5"/>
  <c r="I39" i="51"/>
  <c r="E39" i="51"/>
  <c r="I38" i="51"/>
  <c r="E38" i="51"/>
  <c r="I37" i="51"/>
  <c r="E37" i="51"/>
  <c r="I36" i="51"/>
  <c r="E36" i="51"/>
  <c r="I35" i="51"/>
  <c r="E35" i="51"/>
  <c r="I34" i="51"/>
  <c r="E34" i="51"/>
  <c r="I33" i="51"/>
  <c r="E33" i="51"/>
  <c r="I32" i="51"/>
  <c r="E32" i="51"/>
  <c r="I31" i="51"/>
  <c r="E31" i="51"/>
  <c r="I27" i="51"/>
  <c r="E27" i="51"/>
  <c r="I26" i="51"/>
  <c r="E26" i="51"/>
  <c r="I25" i="51"/>
  <c r="E25" i="51"/>
  <c r="I24" i="51"/>
  <c r="E24" i="51"/>
  <c r="I23" i="51"/>
  <c r="E23" i="51"/>
  <c r="I22" i="51"/>
  <c r="E22" i="51"/>
  <c r="I21" i="51"/>
  <c r="E21" i="51"/>
  <c r="I20" i="51"/>
  <c r="E20" i="51"/>
  <c r="I19" i="51"/>
  <c r="E19" i="51"/>
  <c r="K20" i="51" l="1"/>
  <c r="K24" i="51"/>
  <c r="K31" i="51"/>
  <c r="K19" i="51"/>
  <c r="K23" i="51"/>
  <c r="K21" i="51"/>
  <c r="K32" i="51"/>
  <c r="K36" i="51"/>
  <c r="K39" i="51"/>
  <c r="K34" i="51"/>
  <c r="K37" i="51"/>
  <c r="K38" i="51"/>
  <c r="K27" i="51"/>
  <c r="K26" i="51"/>
  <c r="K22" i="51"/>
  <c r="K25" i="51"/>
  <c r="K33" i="51"/>
  <c r="K35" i="51"/>
  <c r="F86" i="35"/>
  <c r="G44" i="48" l="1"/>
  <c r="E62" i="35" l="1"/>
  <c r="E67" i="35"/>
  <c r="C51" i="38" l="1"/>
  <c r="D51" i="38"/>
  <c r="C53" i="38"/>
  <c r="D53" i="38"/>
  <c r="D50" i="38"/>
  <c r="C50" i="38"/>
  <c r="G50" i="38" l="1"/>
  <c r="G53" i="38"/>
  <c r="G51" i="38"/>
  <c r="A10" i="49" l="1"/>
  <c r="F17" i="49"/>
  <c r="B41" i="49"/>
  <c r="B42" i="49" s="1"/>
  <c r="B43" i="49" s="1"/>
  <c r="B44" i="49" s="1"/>
  <c r="B45" i="49" s="1"/>
  <c r="B46" i="49" s="1"/>
  <c r="B47" i="49" s="1"/>
  <c r="B48" i="49" s="1"/>
  <c r="B49" i="49" s="1"/>
  <c r="B50" i="49" s="1"/>
  <c r="B51" i="49" s="1"/>
  <c r="B52" i="49" s="1"/>
  <c r="B38" i="49"/>
  <c r="B23" i="49"/>
  <c r="B24" i="49" s="1"/>
  <c r="B25" i="49" s="1"/>
  <c r="B26" i="49" s="1"/>
  <c r="B27" i="49" s="1"/>
  <c r="B28" i="49" s="1"/>
  <c r="B29" i="49" s="1"/>
  <c r="B30" i="49" s="1"/>
  <c r="B31" i="49" s="1"/>
  <c r="B32" i="49" s="1"/>
  <c r="B33" i="49" s="1"/>
  <c r="B34" i="49" s="1"/>
  <c r="B41" i="32"/>
  <c r="B42" i="32" s="1"/>
  <c r="B43" i="32" s="1"/>
  <c r="B44" i="32" s="1"/>
  <c r="B45" i="32" s="1"/>
  <c r="B46" i="32" s="1"/>
  <c r="B47" i="32" s="1"/>
  <c r="B48" i="32" s="1"/>
  <c r="B49" i="32" s="1"/>
  <c r="B50" i="32" s="1"/>
  <c r="B51" i="32" s="1"/>
  <c r="B52" i="32" s="1"/>
  <c r="B38" i="32"/>
  <c r="B23" i="32"/>
  <c r="B24" i="32" s="1"/>
  <c r="B25" i="32" s="1"/>
  <c r="B26" i="32" s="1"/>
  <c r="B27" i="32" s="1"/>
  <c r="B28" i="32" s="1"/>
  <c r="B29" i="32" s="1"/>
  <c r="B30" i="32" s="1"/>
  <c r="B31" i="32" s="1"/>
  <c r="B32" i="32" s="1"/>
  <c r="B33" i="32" s="1"/>
  <c r="B34" i="32" s="1"/>
  <c r="A10" i="32"/>
  <c r="H251" i="2" l="1"/>
  <c r="I27" i="8" l="1"/>
  <c r="F128" i="30" l="1"/>
  <c r="E15" i="30"/>
  <c r="E29" i="30"/>
  <c r="E18" i="5" l="1"/>
  <c r="G18" i="5"/>
  <c r="C135" i="38"/>
  <c r="D135" i="38"/>
  <c r="C136" i="38"/>
  <c r="D136" i="38"/>
  <c r="C138" i="38"/>
  <c r="D138" i="38"/>
  <c r="C139" i="38"/>
  <c r="D139" i="38"/>
  <c r="C140" i="38"/>
  <c r="D140" i="38"/>
  <c r="D134" i="38"/>
  <c r="C134" i="38"/>
  <c r="D147" i="38"/>
  <c r="C147" i="38"/>
  <c r="C20" i="38"/>
  <c r="D20" i="38"/>
  <c r="C21" i="38"/>
  <c r="D21" i="38"/>
  <c r="D19" i="38"/>
  <c r="C19" i="38"/>
  <c r="C83" i="39"/>
  <c r="D83" i="39"/>
  <c r="C84" i="39"/>
  <c r="D84" i="39"/>
  <c r="C85" i="39"/>
  <c r="D85" i="39"/>
  <c r="C86" i="39"/>
  <c r="D86" i="39"/>
  <c r="C87" i="39"/>
  <c r="D87" i="39"/>
  <c r="C88" i="39"/>
  <c r="D88" i="39"/>
  <c r="C89" i="39"/>
  <c r="D89" i="39"/>
  <c r="D82" i="39"/>
  <c r="C82" i="39"/>
  <c r="E34" i="5" l="1"/>
  <c r="E42" i="5"/>
  <c r="G42" i="5"/>
  <c r="E26" i="5"/>
  <c r="G34" i="5"/>
  <c r="G26" i="5"/>
  <c r="K51" i="6" l="1"/>
  <c r="E51" i="6" s="1"/>
  <c r="K42" i="6"/>
  <c r="E42" i="6" s="1"/>
  <c r="K43" i="6"/>
  <c r="E43" i="6" s="1"/>
  <c r="K44" i="6"/>
  <c r="E44" i="6" s="1"/>
  <c r="K45" i="6"/>
  <c r="E45" i="6" s="1"/>
  <c r="K48" i="6"/>
  <c r="E48" i="6" s="1"/>
  <c r="K49" i="6"/>
  <c r="E49" i="6" s="1"/>
  <c r="K50" i="6"/>
  <c r="E50" i="6" s="1"/>
  <c r="K52" i="6"/>
  <c r="E52" i="6" s="1"/>
  <c r="K53" i="6"/>
  <c r="E53" i="6" s="1"/>
  <c r="K54" i="6"/>
  <c r="E54" i="6" s="1"/>
  <c r="K55" i="6"/>
  <c r="E55" i="6" s="1"/>
  <c r="K56" i="6"/>
  <c r="E56" i="6" s="1"/>
  <c r="K57" i="6"/>
  <c r="E57" i="6" s="1"/>
  <c r="E47" i="6"/>
  <c r="E46" i="6"/>
  <c r="K41" i="6"/>
  <c r="G160" i="2" l="1"/>
  <c r="I94" i="20"/>
  <c r="G24" i="49"/>
  <c r="G25" i="49" s="1"/>
  <c r="G26" i="49" s="1"/>
  <c r="G27" i="49" s="1"/>
  <c r="G28" i="49" s="1"/>
  <c r="G29" i="49" s="1"/>
  <c r="G30" i="49" s="1"/>
  <c r="G31" i="49" s="1"/>
  <c r="G32" i="49" s="1"/>
  <c r="G33" i="49" s="1"/>
  <c r="G34" i="49" s="1"/>
  <c r="F23" i="49"/>
  <c r="F24" i="49" s="1"/>
  <c r="F25" i="49" s="1"/>
  <c r="H12" i="49"/>
  <c r="D23" i="49" s="1"/>
  <c r="D24" i="49" s="1"/>
  <c r="D25" i="49" s="1"/>
  <c r="D26" i="49" s="1"/>
  <c r="D27" i="49" s="1"/>
  <c r="D28" i="49" s="1"/>
  <c r="D29" i="49" s="1"/>
  <c r="D30" i="49" s="1"/>
  <c r="D31" i="49" s="1"/>
  <c r="D32" i="49" s="1"/>
  <c r="D33" i="49" s="1"/>
  <c r="D34" i="49" s="1"/>
  <c r="F12" i="49"/>
  <c r="B12" i="49"/>
  <c r="G42" i="41"/>
  <c r="F42" i="41"/>
  <c r="E42" i="41"/>
  <c r="D42" i="41"/>
  <c r="C42" i="41"/>
  <c r="F23" i="41"/>
  <c r="L267" i="2" s="1"/>
  <c r="E23" i="41"/>
  <c r="L266" i="2" s="1"/>
  <c r="D23" i="41"/>
  <c r="L265" i="2" s="1"/>
  <c r="F62" i="35"/>
  <c r="L235" i="2"/>
  <c r="D62" i="35"/>
  <c r="C62" i="35"/>
  <c r="L236" i="2" s="1"/>
  <c r="K42" i="35"/>
  <c r="G88" i="2" s="1"/>
  <c r="J42" i="35"/>
  <c r="G87" i="2" s="1"/>
  <c r="I42" i="35"/>
  <c r="G86" i="2" s="1"/>
  <c r="H42" i="35"/>
  <c r="G85" i="2" s="1"/>
  <c r="L85" i="2" s="1"/>
  <c r="G42" i="35"/>
  <c r="G84" i="2" s="1"/>
  <c r="L84" i="2" s="1"/>
  <c r="F42" i="35"/>
  <c r="G83" i="2" s="1"/>
  <c r="E42" i="35"/>
  <c r="G82" i="2" s="1"/>
  <c r="D42" i="35"/>
  <c r="G81" i="2" s="1"/>
  <c r="L81" i="2" s="1"/>
  <c r="C42" i="35"/>
  <c r="G80" i="2" s="1"/>
  <c r="K23" i="35"/>
  <c r="G74" i="2" s="1"/>
  <c r="J23" i="35"/>
  <c r="G73" i="2" s="1"/>
  <c r="I23" i="35"/>
  <c r="G72" i="2" s="1"/>
  <c r="H23" i="35"/>
  <c r="G71" i="2" s="1"/>
  <c r="L71" i="2" s="1"/>
  <c r="G23" i="35"/>
  <c r="G70" i="2" s="1"/>
  <c r="F23" i="35"/>
  <c r="G69" i="2" s="1"/>
  <c r="E23" i="35"/>
  <c r="G68" i="2" s="1"/>
  <c r="L234" i="2" s="1"/>
  <c r="F17" i="48"/>
  <c r="B14" i="48"/>
  <c r="A6" i="48"/>
  <c r="K41" i="48"/>
  <c r="K37" i="48"/>
  <c r="E28" i="48"/>
  <c r="A23" i="48"/>
  <c r="A24" i="48" s="1"/>
  <c r="A25" i="48" s="1"/>
  <c r="A26" i="48" s="1"/>
  <c r="A27" i="48" s="1"/>
  <c r="E20" i="48"/>
  <c r="A4" i="48"/>
  <c r="C63" i="41"/>
  <c r="B48" i="41"/>
  <c r="I32" i="30"/>
  <c r="A6" i="11"/>
  <c r="A4" i="41"/>
  <c r="A6" i="13"/>
  <c r="A6" i="20"/>
  <c r="A6" i="10"/>
  <c r="A6" i="9"/>
  <c r="A6" i="8"/>
  <c r="B36" i="8" s="1"/>
  <c r="A6" i="7"/>
  <c r="B26" i="7" s="1"/>
  <c r="A6" i="6"/>
  <c r="B1" i="39"/>
  <c r="B1" i="38"/>
  <c r="A6" i="5"/>
  <c r="A4" i="35"/>
  <c r="B3" i="39"/>
  <c r="Q10" i="39"/>
  <c r="Q10" i="38"/>
  <c r="M10" i="39"/>
  <c r="M10" i="38"/>
  <c r="F13" i="39"/>
  <c r="E13" i="39"/>
  <c r="E13" i="38"/>
  <c r="D13" i="39"/>
  <c r="D13" i="38"/>
  <c r="C13" i="39"/>
  <c r="C13" i="38"/>
  <c r="M93" i="39"/>
  <c r="D43" i="5"/>
  <c r="D42" i="5"/>
  <c r="D27" i="5"/>
  <c r="D19" i="5"/>
  <c r="F87" i="35"/>
  <c r="F85" i="35"/>
  <c r="R143" i="38"/>
  <c r="R149" i="38" s="1"/>
  <c r="N149" i="38"/>
  <c r="R56" i="38"/>
  <c r="F13" i="38"/>
  <c r="B3" i="38"/>
  <c r="A57" i="38"/>
  <c r="D26" i="5" s="1"/>
  <c r="A146" i="38"/>
  <c r="A149" i="38" s="1"/>
  <c r="I18" i="5"/>
  <c r="I42" i="5"/>
  <c r="K91" i="39"/>
  <c r="J91" i="39"/>
  <c r="I91" i="39"/>
  <c r="D91" i="39"/>
  <c r="C91" i="39"/>
  <c r="G89" i="39"/>
  <c r="G88" i="39"/>
  <c r="G86" i="39"/>
  <c r="G85" i="39"/>
  <c r="G83" i="39"/>
  <c r="G82" i="39"/>
  <c r="S163" i="38"/>
  <c r="R163" i="38"/>
  <c r="E52" i="5" s="1"/>
  <c r="Q163" i="38"/>
  <c r="O163" i="38"/>
  <c r="N163" i="38"/>
  <c r="G52" i="5" s="1"/>
  <c r="M163" i="38"/>
  <c r="F163" i="38"/>
  <c r="E163" i="38"/>
  <c r="K161" i="38"/>
  <c r="J161" i="38"/>
  <c r="I161" i="38"/>
  <c r="D161" i="38"/>
  <c r="C161" i="38"/>
  <c r="K160" i="38"/>
  <c r="J160" i="38"/>
  <c r="I160" i="38"/>
  <c r="D160" i="38"/>
  <c r="C160" i="38"/>
  <c r="G147" i="38"/>
  <c r="K146" i="38"/>
  <c r="J146" i="38"/>
  <c r="I146" i="38"/>
  <c r="D146" i="38"/>
  <c r="C146" i="38"/>
  <c r="S23" i="38"/>
  <c r="R23" i="38"/>
  <c r="Q23" i="38"/>
  <c r="G21" i="38"/>
  <c r="K17" i="38"/>
  <c r="K23" i="38" s="1"/>
  <c r="J17" i="38"/>
  <c r="J23" i="38" s="1"/>
  <c r="I17" i="38"/>
  <c r="I23" i="38" s="1"/>
  <c r="D17" i="38"/>
  <c r="D23" i="38" s="1"/>
  <c r="C17" i="38"/>
  <c r="C23" i="38" s="1"/>
  <c r="A24" i="38"/>
  <c r="D18" i="5" s="1"/>
  <c r="Q27" i="21"/>
  <c r="Q22" i="21"/>
  <c r="Q17" i="21"/>
  <c r="A2" i="41"/>
  <c r="A11" i="41"/>
  <c r="A12" i="41" s="1"/>
  <c r="A13" i="41" s="1"/>
  <c r="A14" i="41" s="1"/>
  <c r="A15" i="41" s="1"/>
  <c r="A16" i="41" s="1"/>
  <c r="A17" i="41" s="1"/>
  <c r="A18" i="41" s="1"/>
  <c r="A19" i="41" s="1"/>
  <c r="A20" i="41" s="1"/>
  <c r="A21" i="41" s="1"/>
  <c r="A22" i="41" s="1"/>
  <c r="A23" i="41" s="1"/>
  <c r="E265" i="2" s="1"/>
  <c r="H29" i="41"/>
  <c r="H31" i="41"/>
  <c r="H33" i="41"/>
  <c r="H35" i="41"/>
  <c r="H37" i="41"/>
  <c r="H39" i="41"/>
  <c r="H41" i="41"/>
  <c r="E68" i="41"/>
  <c r="E69" i="41"/>
  <c r="E70" i="41"/>
  <c r="E71" i="41"/>
  <c r="E72" i="41"/>
  <c r="C74" i="41"/>
  <c r="E50" i="41" s="1"/>
  <c r="D74" i="41"/>
  <c r="B85" i="41"/>
  <c r="B86" i="41"/>
  <c r="B87" i="41"/>
  <c r="C88" i="41"/>
  <c r="C89" i="41" s="1"/>
  <c r="D88" i="41"/>
  <c r="D89" i="41" s="1"/>
  <c r="B91" i="41"/>
  <c r="B92" i="41"/>
  <c r="B93" i="41"/>
  <c r="C94" i="41"/>
  <c r="C95" i="41" s="1"/>
  <c r="D94" i="41"/>
  <c r="D95" i="41" s="1"/>
  <c r="B97" i="41"/>
  <c r="B98" i="41"/>
  <c r="B99" i="41"/>
  <c r="C100" i="41"/>
  <c r="C101" i="41" s="1"/>
  <c r="D100" i="41"/>
  <c r="D101" i="41" s="1"/>
  <c r="H40" i="41"/>
  <c r="H38" i="41"/>
  <c r="H36" i="41"/>
  <c r="H34" i="41"/>
  <c r="H32" i="41"/>
  <c r="H30" i="41"/>
  <c r="E115" i="2"/>
  <c r="E88" i="35"/>
  <c r="D88" i="35"/>
  <c r="F67" i="35"/>
  <c r="D67" i="35"/>
  <c r="A69" i="35"/>
  <c r="A71" i="35" s="1"/>
  <c r="E80" i="35"/>
  <c r="D80" i="35"/>
  <c r="F79" i="35"/>
  <c r="F78" i="35"/>
  <c r="F77" i="35"/>
  <c r="F76" i="35"/>
  <c r="F75" i="35"/>
  <c r="F71" i="35"/>
  <c r="L111" i="2" s="1"/>
  <c r="F69" i="35"/>
  <c r="G111" i="2" s="1"/>
  <c r="A11" i="35"/>
  <c r="A12" i="35" s="1"/>
  <c r="A13" i="35" s="1"/>
  <c r="A14" i="35" s="1"/>
  <c r="A15" i="35" s="1"/>
  <c r="A16" i="35" s="1"/>
  <c r="A17" i="35" s="1"/>
  <c r="A18" i="35" s="1"/>
  <c r="A19" i="35" s="1"/>
  <c r="A20" i="35" s="1"/>
  <c r="A21" i="35" s="1"/>
  <c r="A22" i="35" s="1"/>
  <c r="A23" i="35" s="1"/>
  <c r="A2" i="35"/>
  <c r="I59" i="30"/>
  <c r="I58" i="30"/>
  <c r="I55" i="30"/>
  <c r="I54" i="30"/>
  <c r="I53" i="30"/>
  <c r="I52" i="30"/>
  <c r="I48" i="30"/>
  <c r="I47" i="30"/>
  <c r="I46" i="30"/>
  <c r="B21" i="7"/>
  <c r="K27" i="8"/>
  <c r="K31" i="8" s="1"/>
  <c r="G15" i="2" s="1"/>
  <c r="L15" i="2" s="1"/>
  <c r="I31" i="8"/>
  <c r="B11" i="7"/>
  <c r="E70" i="30"/>
  <c r="E27" i="11" s="1"/>
  <c r="I27" i="11" s="1"/>
  <c r="D33" i="9"/>
  <c r="G152" i="2" s="1"/>
  <c r="L44" i="2" s="1"/>
  <c r="O83" i="13"/>
  <c r="P83" i="13"/>
  <c r="J21" i="8"/>
  <c r="J19" i="8"/>
  <c r="J17" i="8"/>
  <c r="J15" i="8"/>
  <c r="J13" i="8"/>
  <c r="L89" i="13"/>
  <c r="L97" i="13"/>
  <c r="C102" i="13"/>
  <c r="C103" i="13" s="1"/>
  <c r="C104" i="13" s="1"/>
  <c r="C105" i="13" s="1"/>
  <c r="C106" i="13" s="1"/>
  <c r="C107" i="13" s="1"/>
  <c r="C108" i="13" s="1"/>
  <c r="C109" i="13" s="1"/>
  <c r="C110" i="13" s="1"/>
  <c r="C111" i="13" s="1"/>
  <c r="C112" i="13" s="1"/>
  <c r="C113" i="13" s="1"/>
  <c r="C114" i="13" s="1"/>
  <c r="C115" i="13" s="1"/>
  <c r="C116" i="13" s="1"/>
  <c r="C117" i="13" s="1"/>
  <c r="C118" i="13" s="1"/>
  <c r="C119" i="13" s="1"/>
  <c r="C120" i="13" s="1"/>
  <c r="C121" i="13" s="1"/>
  <c r="C122" i="13" s="1"/>
  <c r="C123" i="13" s="1"/>
  <c r="C124" i="13" s="1"/>
  <c r="C125" i="13" s="1"/>
  <c r="C126" i="13" s="1"/>
  <c r="C127" i="13" s="1"/>
  <c r="C128" i="13" s="1"/>
  <c r="C129" i="13" s="1"/>
  <c r="C130" i="13" s="1"/>
  <c r="C131" i="13" s="1"/>
  <c r="D102" i="13"/>
  <c r="M102" i="13"/>
  <c r="O102" i="13"/>
  <c r="M110" i="13"/>
  <c r="O110" i="13"/>
  <c r="M111" i="13"/>
  <c r="O111" i="13"/>
  <c r="M112" i="13"/>
  <c r="O112" i="13"/>
  <c r="M113" i="13"/>
  <c r="O113" i="13"/>
  <c r="M114" i="13"/>
  <c r="O114" i="13"/>
  <c r="M115" i="13"/>
  <c r="O115" i="13"/>
  <c r="M116" i="13"/>
  <c r="O116" i="13"/>
  <c r="M117" i="13"/>
  <c r="O117" i="13"/>
  <c r="M118" i="13"/>
  <c r="O118"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M132" i="13"/>
  <c r="O132" i="13"/>
  <c r="M133" i="13"/>
  <c r="O133" i="13"/>
  <c r="M134" i="13"/>
  <c r="O134" i="13"/>
  <c r="M135" i="13"/>
  <c r="O135" i="13"/>
  <c r="M136" i="13"/>
  <c r="O136" i="13"/>
  <c r="M137" i="13"/>
  <c r="O137" i="13"/>
  <c r="M138" i="13"/>
  <c r="O138" i="13"/>
  <c r="M139" i="13"/>
  <c r="O139" i="13"/>
  <c r="M140" i="13"/>
  <c r="O140" i="13"/>
  <c r="M141" i="13"/>
  <c r="O141" i="13"/>
  <c r="M142" i="13"/>
  <c r="O142" i="13"/>
  <c r="M143" i="13"/>
  <c r="O143" i="13"/>
  <c r="M144" i="13"/>
  <c r="O144" i="13"/>
  <c r="M145" i="13"/>
  <c r="O145" i="13"/>
  <c r="M146" i="13"/>
  <c r="O146" i="13"/>
  <c r="M147" i="13"/>
  <c r="O147" i="13"/>
  <c r="M148" i="13"/>
  <c r="O148" i="13"/>
  <c r="M149" i="13"/>
  <c r="O149" i="13"/>
  <c r="M150" i="13"/>
  <c r="O150" i="13"/>
  <c r="M151" i="13"/>
  <c r="O151" i="13"/>
  <c r="M152" i="13"/>
  <c r="O152" i="13"/>
  <c r="M153" i="13"/>
  <c r="O153" i="13"/>
  <c r="M154" i="13"/>
  <c r="O154" i="13"/>
  <c r="M155" i="13"/>
  <c r="O155" i="13"/>
  <c r="M156" i="13"/>
  <c r="O156" i="13"/>
  <c r="M157" i="13"/>
  <c r="O157" i="13"/>
  <c r="M158" i="13"/>
  <c r="O158" i="13"/>
  <c r="M159" i="13"/>
  <c r="O159" i="13"/>
  <c r="M160" i="13"/>
  <c r="O160" i="13"/>
  <c r="M161" i="13"/>
  <c r="O161" i="13"/>
  <c r="D101"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157" i="20"/>
  <c r="C158" i="20"/>
  <c r="C159" i="20"/>
  <c r="C160" i="20"/>
  <c r="K96" i="20"/>
  <c r="I95" i="20"/>
  <c r="O82" i="20"/>
  <c r="N82" i="20"/>
  <c r="A6" i="30"/>
  <c r="E122" i="30"/>
  <c r="E40" i="11" s="1"/>
  <c r="M40" i="11" s="1"/>
  <c r="E108" i="30"/>
  <c r="E38" i="11" s="1"/>
  <c r="K38" i="11" s="1"/>
  <c r="E91" i="30"/>
  <c r="E36" i="11" s="1"/>
  <c r="K36" i="11" s="1"/>
  <c r="E83" i="30"/>
  <c r="E34" i="11" s="1"/>
  <c r="M34" i="11" s="1"/>
  <c r="E72" i="30"/>
  <c r="E28" i="11" s="1"/>
  <c r="I28" i="11" s="1"/>
  <c r="E56" i="30"/>
  <c r="D63" i="9"/>
  <c r="G163" i="2" s="1"/>
  <c r="D21" i="9"/>
  <c r="G154" i="2" s="1"/>
  <c r="K62" i="6"/>
  <c r="K31" i="6" s="1"/>
  <c r="D311" i="2"/>
  <c r="G24" i="32"/>
  <c r="G25" i="32" s="1"/>
  <c r="G26" i="32" s="1"/>
  <c r="G27" i="32" s="1"/>
  <c r="G28" i="32" s="1"/>
  <c r="G29" i="32" s="1"/>
  <c r="G30" i="32" s="1"/>
  <c r="G31" i="32" s="1"/>
  <c r="G32" i="32" s="1"/>
  <c r="G33" i="32" s="1"/>
  <c r="G34" i="32" s="1"/>
  <c r="F23" i="32"/>
  <c r="F24" i="32" s="1"/>
  <c r="H12" i="32"/>
  <c r="I56" i="32" s="1"/>
  <c r="F12" i="32"/>
  <c r="B12" i="32"/>
  <c r="L26" i="20"/>
  <c r="A4" i="21"/>
  <c r="A4" i="30"/>
  <c r="A4" i="11"/>
  <c r="A4" i="10"/>
  <c r="A4" i="9"/>
  <c r="A4" i="8"/>
  <c r="A4" i="7"/>
  <c r="A4" i="6"/>
  <c r="A4" i="5"/>
  <c r="F7" i="2"/>
  <c r="F56" i="2" s="1"/>
  <c r="F136" i="2" s="1"/>
  <c r="F226" i="2" s="1"/>
  <c r="F280" i="2" s="1"/>
  <c r="F16" i="13"/>
  <c r="F18" i="13" s="1"/>
  <c r="E23" i="13" s="1"/>
  <c r="F16" i="20"/>
  <c r="F18" i="20" s="1"/>
  <c r="E23" i="20" s="1"/>
  <c r="L18" i="2"/>
  <c r="B13" i="2"/>
  <c r="C47" i="20" s="1"/>
  <c r="I91" i="6"/>
  <c r="I32" i="6" s="1"/>
  <c r="D62" i="6"/>
  <c r="D31" i="6" s="1"/>
  <c r="O8" i="20"/>
  <c r="E50" i="30"/>
  <c r="E22" i="11" s="1"/>
  <c r="G22" i="11" s="1"/>
  <c r="E17" i="11"/>
  <c r="M17" i="11" s="1"/>
  <c r="E79" i="30"/>
  <c r="E31" i="11" s="1"/>
  <c r="M31" i="11" s="1"/>
  <c r="L249" i="2"/>
  <c r="L251" i="2"/>
  <c r="L253" i="2"/>
  <c r="L254" i="2"/>
  <c r="F255" i="2"/>
  <c r="G255" i="2"/>
  <c r="E41" i="6"/>
  <c r="C21" i="7"/>
  <c r="C23" i="7" s="1"/>
  <c r="G129" i="2" s="1"/>
  <c r="L129" i="2" s="1"/>
  <c r="E26" i="11"/>
  <c r="I26" i="11" s="1"/>
  <c r="E39" i="30"/>
  <c r="E21" i="11" s="1"/>
  <c r="G21" i="11" s="1"/>
  <c r="E116" i="30"/>
  <c r="E39" i="11" s="1"/>
  <c r="M39" i="11" s="1"/>
  <c r="E125" i="30"/>
  <c r="E41" i="11" s="1"/>
  <c r="M41" i="11" s="1"/>
  <c r="E87" i="30"/>
  <c r="E35" i="11" s="1"/>
  <c r="K35" i="11" s="1"/>
  <c r="E101" i="30"/>
  <c r="F63" i="9"/>
  <c r="G169" i="2" s="1"/>
  <c r="F73" i="9"/>
  <c r="G170" i="2" s="1"/>
  <c r="L170" i="2" s="1"/>
  <c r="O17" i="21"/>
  <c r="O22" i="21"/>
  <c r="O27" i="21"/>
  <c r="I17" i="6"/>
  <c r="G119" i="2" s="1"/>
  <c r="I21" i="6"/>
  <c r="G121" i="2" s="1"/>
  <c r="I23" i="6"/>
  <c r="G122" i="2" s="1"/>
  <c r="D73" i="9"/>
  <c r="G164" i="2" s="1"/>
  <c r="A24" i="9"/>
  <c r="A25" i="9" s="1"/>
  <c r="A26" i="9" s="1"/>
  <c r="A27" i="9" s="1"/>
  <c r="A28" i="9" s="1"/>
  <c r="A29" i="9" s="1"/>
  <c r="A30" i="9" s="1"/>
  <c r="A31" i="9" s="1"/>
  <c r="A32" i="9" s="1"/>
  <c r="A33" i="9" s="1"/>
  <c r="A15" i="7"/>
  <c r="A17" i="7" s="1"/>
  <c r="A18" i="7" s="1"/>
  <c r="A19" i="7" s="1"/>
  <c r="A21" i="7" s="1"/>
  <c r="A23" i="7" s="1"/>
  <c r="A17" i="6"/>
  <c r="A21" i="6" s="1"/>
  <c r="A23" i="6" s="1"/>
  <c r="A29" i="6" s="1"/>
  <c r="A31" i="6" s="1"/>
  <c r="A32" i="6" s="1"/>
  <c r="A33" i="6" s="1"/>
  <c r="A39"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8"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15" i="30"/>
  <c r="A27" i="30" s="1"/>
  <c r="A29" i="30" s="1"/>
  <c r="A39" i="30" s="1"/>
  <c r="A50" i="30" s="1"/>
  <c r="A57" i="30" s="1"/>
  <c r="A66" i="30" s="1"/>
  <c r="A67" i="30" s="1"/>
  <c r="A70" i="30" s="1"/>
  <c r="A72" i="30" s="1"/>
  <c r="A79" i="30" s="1"/>
  <c r="A80" i="30" s="1"/>
  <c r="A82" i="30" s="1"/>
  <c r="A83" i="30" s="1"/>
  <c r="A87" i="30" s="1"/>
  <c r="A91" i="30" s="1"/>
  <c r="A101" i="30" s="1"/>
  <c r="A108" i="30" s="1"/>
  <c r="A116" i="30" s="1"/>
  <c r="A122" i="30" s="1"/>
  <c r="A125" i="30" s="1"/>
  <c r="A128" i="30" s="1"/>
  <c r="G215" i="2"/>
  <c r="L215" i="2" s="1"/>
  <c r="A17" i="11"/>
  <c r="A19" i="11" s="1"/>
  <c r="A20" i="11" s="1"/>
  <c r="A21" i="11" s="1"/>
  <c r="A22" i="11" s="1"/>
  <c r="A23" i="11" s="1"/>
  <c r="A25" i="11" s="1"/>
  <c r="A26" i="11" s="1"/>
  <c r="A27" i="11" s="1"/>
  <c r="A28" i="11" s="1"/>
  <c r="A30" i="11" s="1"/>
  <c r="A31" i="11" s="1"/>
  <c r="A33" i="11" s="1"/>
  <c r="A34" i="11" s="1"/>
  <c r="A35" i="11" s="1"/>
  <c r="A36" i="11" s="1"/>
  <c r="A37" i="11" s="1"/>
  <c r="A38" i="11" s="1"/>
  <c r="A39" i="11" s="1"/>
  <c r="A40" i="11" s="1"/>
  <c r="A41" i="11" s="1"/>
  <c r="A42" i="11" s="1"/>
  <c r="A43" i="11" s="1"/>
  <c r="E191" i="2" s="1"/>
  <c r="D32" i="6"/>
  <c r="I50" i="5"/>
  <c r="J29" i="8"/>
  <c r="A4" i="13"/>
  <c r="A4" i="20"/>
  <c r="C60" i="13"/>
  <c r="L180" i="2"/>
  <c r="G167" i="2"/>
  <c r="K33" i="21"/>
  <c r="A22" i="21"/>
  <c r="A27" i="21" s="1"/>
  <c r="A33" i="21" s="1"/>
  <c r="D217" i="2" s="1"/>
  <c r="L175" i="2"/>
  <c r="A6" i="21"/>
  <c r="D12" i="9"/>
  <c r="C32" i="6"/>
  <c r="I12" i="6"/>
  <c r="I10" i="5"/>
  <c r="C9" i="7"/>
  <c r="M23" i="13"/>
  <c r="M20" i="13"/>
  <c r="N8" i="20"/>
  <c r="C11" i="20"/>
  <c r="C14" i="20"/>
  <c r="C18" i="20"/>
  <c r="C26" i="20"/>
  <c r="C32" i="20"/>
  <c r="C42" i="20"/>
  <c r="C43" i="20"/>
  <c r="C53" i="20"/>
  <c r="C55" i="20"/>
  <c r="C58" i="20"/>
  <c r="C60" i="20"/>
  <c r="C62" i="20"/>
  <c r="C65" i="20"/>
  <c r="C66" i="20"/>
  <c r="C68" i="20"/>
  <c r="C69" i="20"/>
  <c r="C71" i="20"/>
  <c r="B6" i="14"/>
  <c r="H249" i="2"/>
  <c r="H250" i="2"/>
  <c r="D67" i="6"/>
  <c r="B65" i="6" s="1"/>
  <c r="G12" i="6"/>
  <c r="G10" i="5"/>
  <c r="B4" i="14"/>
  <c r="O8" i="13"/>
  <c r="P8" i="13"/>
  <c r="C11" i="13"/>
  <c r="C14" i="13"/>
  <c r="C18" i="13"/>
  <c r="C26" i="13"/>
  <c r="C32" i="13"/>
  <c r="C42" i="13"/>
  <c r="C43" i="13"/>
  <c r="C53" i="13"/>
  <c r="C55" i="13"/>
  <c r="C58" i="13"/>
  <c r="C62" i="13"/>
  <c r="C65" i="13"/>
  <c r="C66" i="13"/>
  <c r="C68" i="13"/>
  <c r="C69" i="13"/>
  <c r="C71" i="13"/>
  <c r="A4" i="12"/>
  <c r="A6" i="12"/>
  <c r="C50" i="11"/>
  <c r="M54" i="11"/>
  <c r="C61" i="11"/>
  <c r="M65" i="11"/>
  <c r="A3" i="6"/>
  <c r="A3" i="7" s="1"/>
  <c r="A15" i="8"/>
  <c r="A17" i="8" s="1"/>
  <c r="A19" i="8" s="1"/>
  <c r="A21" i="8" s="1"/>
  <c r="A27" i="8" s="1"/>
  <c r="A29" i="8" s="1"/>
  <c r="A31" i="8" s="1"/>
  <c r="A39" i="8" s="1"/>
  <c r="E12" i="6"/>
  <c r="C31" i="6"/>
  <c r="D38" i="6"/>
  <c r="B36" i="6" s="1"/>
  <c r="E10" i="5"/>
  <c r="A17" i="5"/>
  <c r="A18" i="5" s="1"/>
  <c r="A19" i="5" s="1"/>
  <c r="A20" i="5" s="1"/>
  <c r="A23" i="5" s="1"/>
  <c r="A25" i="5" s="1"/>
  <c r="A26" i="5" s="1"/>
  <c r="A27" i="5" s="1"/>
  <c r="A28" i="5" s="1"/>
  <c r="A31" i="5" s="1"/>
  <c r="A33" i="5" s="1"/>
  <c r="F54" i="2"/>
  <c r="F134" i="2" s="1"/>
  <c r="F224" i="2" s="1"/>
  <c r="F278" i="2" s="1"/>
  <c r="F55" i="2"/>
  <c r="F135" i="2" s="1"/>
  <c r="F225" i="2" s="1"/>
  <c r="F279" i="2" s="1"/>
  <c r="F58" i="2"/>
  <c r="F138" i="2" s="1"/>
  <c r="F228" i="2" s="1"/>
  <c r="F282" i="2" s="1"/>
  <c r="B64" i="2"/>
  <c r="B144" i="2" s="1"/>
  <c r="B65" i="2"/>
  <c r="B145" i="2" s="1"/>
  <c r="D80" i="2"/>
  <c r="D94" i="2" s="1"/>
  <c r="D82" i="2"/>
  <c r="D95" i="2" s="1"/>
  <c r="D84" i="2"/>
  <c r="D96" i="2" s="1"/>
  <c r="D86" i="2"/>
  <c r="D97" i="2" s="1"/>
  <c r="D88" i="2"/>
  <c r="D98" i="2" s="1"/>
  <c r="E142" i="2"/>
  <c r="L142" i="2"/>
  <c r="E143" i="2"/>
  <c r="G143" i="2"/>
  <c r="I143" i="2"/>
  <c r="L143" i="2"/>
  <c r="G151" i="2"/>
  <c r="D181" i="2"/>
  <c r="H253" i="2"/>
  <c r="H254" i="2"/>
  <c r="O93" i="39"/>
  <c r="N93" i="39"/>
  <c r="G20" i="38"/>
  <c r="L179" i="2"/>
  <c r="E20" i="11"/>
  <c r="G20" i="11" s="1"/>
  <c r="G62" i="6"/>
  <c r="G31" i="6" s="1"/>
  <c r="J99" i="13"/>
  <c r="E102" i="13" s="1"/>
  <c r="E67" i="11"/>
  <c r="G67" i="11"/>
  <c r="I67" i="11"/>
  <c r="I51" i="30"/>
  <c r="M107" i="13"/>
  <c r="M103" i="13"/>
  <c r="M105" i="13"/>
  <c r="M106" i="13"/>
  <c r="M104" i="13"/>
  <c r="O105" i="13"/>
  <c r="O103" i="13"/>
  <c r="O104" i="13"/>
  <c r="O107" i="13"/>
  <c r="O106" i="13"/>
  <c r="O108" i="13"/>
  <c r="M109" i="13"/>
  <c r="M108" i="13"/>
  <c r="O109" i="13"/>
  <c r="G19" i="38"/>
  <c r="F23" i="38"/>
  <c r="G136" i="38"/>
  <c r="I34" i="5"/>
  <c r="E56" i="38"/>
  <c r="I26" i="5"/>
  <c r="I62" i="6"/>
  <c r="I31" i="6" s="1"/>
  <c r="I98" i="20"/>
  <c r="E101" i="20" s="1"/>
  <c r="G27" i="2"/>
  <c r="L27" i="2" s="1"/>
  <c r="O26" i="20"/>
  <c r="G91" i="6"/>
  <c r="G32" i="6" s="1"/>
  <c r="G33" i="6" s="1"/>
  <c r="G125" i="2" s="1"/>
  <c r="L125" i="2" s="1"/>
  <c r="G87" i="39"/>
  <c r="E23" i="38"/>
  <c r="E69" i="2" l="1"/>
  <c r="E76" i="2"/>
  <c r="E75" i="2"/>
  <c r="G91" i="2"/>
  <c r="F48" i="13"/>
  <c r="L48" i="2"/>
  <c r="C47" i="13"/>
  <c r="B15" i="2"/>
  <c r="B18" i="2" s="1"/>
  <c r="B20" i="2" s="1"/>
  <c r="B27" i="2" s="1"/>
  <c r="B29" i="2" s="1"/>
  <c r="B30" i="2" s="1"/>
  <c r="G48" i="20"/>
  <c r="F101" i="20"/>
  <c r="D102" i="20" s="1"/>
  <c r="E102" i="20" s="1"/>
  <c r="A3" i="8"/>
  <c r="G161" i="38"/>
  <c r="D163" i="38"/>
  <c r="G49" i="5"/>
  <c r="G51" i="5" s="1"/>
  <c r="E89" i="41"/>
  <c r="F102" i="13"/>
  <c r="D103" i="13" s="1"/>
  <c r="J163" i="38"/>
  <c r="A75" i="35"/>
  <c r="A76" i="35" s="1"/>
  <c r="A77" i="35" s="1"/>
  <c r="A78" i="35" s="1"/>
  <c r="A79" i="35" s="1"/>
  <c r="A80" i="35" s="1"/>
  <c r="E111" i="2"/>
  <c r="C103" i="41"/>
  <c r="C105" i="41" s="1"/>
  <c r="E101" i="41"/>
  <c r="F80" i="35"/>
  <c r="G113" i="2" s="1"/>
  <c r="L113" i="2" s="1"/>
  <c r="O33" i="21"/>
  <c r="G217" i="2" s="1"/>
  <c r="E152" i="2"/>
  <c r="A36" i="9"/>
  <c r="A37" i="9" s="1"/>
  <c r="A38" i="9" s="1"/>
  <c r="A39" i="9" s="1"/>
  <c r="A40" i="9" s="1"/>
  <c r="A41" i="9" s="1"/>
  <c r="B28" i="48"/>
  <c r="A28" i="48"/>
  <c r="A37" i="48" s="1"/>
  <c r="A39" i="48" s="1"/>
  <c r="C104" i="41"/>
  <c r="G272" i="2"/>
  <c r="J272" i="2" s="1"/>
  <c r="E22" i="13" s="1"/>
  <c r="D20" i="5"/>
  <c r="E49" i="5"/>
  <c r="E51" i="5" s="1"/>
  <c r="D103" i="41"/>
  <c r="D105" i="41" s="1"/>
  <c r="H23" i="49"/>
  <c r="K23" i="49" s="1"/>
  <c r="B23" i="7"/>
  <c r="D23" i="32"/>
  <c r="E95" i="41"/>
  <c r="D104" i="41"/>
  <c r="E88" i="41"/>
  <c r="E100" i="41"/>
  <c r="E94" i="41"/>
  <c r="S27" i="21"/>
  <c r="N88" i="20"/>
  <c r="G43" i="5"/>
  <c r="G41" i="5"/>
  <c r="E76" i="41"/>
  <c r="F356" i="2"/>
  <c r="G197" i="2" s="1"/>
  <c r="D64" i="35"/>
  <c r="L82" i="2" s="1"/>
  <c r="G146" i="38"/>
  <c r="F25" i="32"/>
  <c r="F26" i="32" s="1"/>
  <c r="F27" i="32" s="1"/>
  <c r="F28" i="32" s="1"/>
  <c r="F29" i="32" s="1"/>
  <c r="F30" i="32" s="1"/>
  <c r="F31" i="32" s="1"/>
  <c r="F32" i="32" s="1"/>
  <c r="F33" i="32" s="1"/>
  <c r="F34" i="32" s="1"/>
  <c r="N89" i="20"/>
  <c r="E37" i="11"/>
  <c r="K37" i="11" s="1"/>
  <c r="K43" i="11" s="1"/>
  <c r="G193" i="2" s="1"/>
  <c r="C132" i="13"/>
  <c r="C133" i="13" s="1"/>
  <c r="C134" i="13" s="1"/>
  <c r="C135" i="13" s="1"/>
  <c r="C136" i="13" s="1"/>
  <c r="C137" i="13" s="1"/>
  <c r="C138" i="13" s="1"/>
  <c r="C139" i="13" s="1"/>
  <c r="C140" i="13" s="1"/>
  <c r="C141" i="13" s="1"/>
  <c r="C142" i="13" s="1"/>
  <c r="C143" i="13" s="1"/>
  <c r="C144" i="13" s="1"/>
  <c r="C145" i="13" s="1"/>
  <c r="C146" i="13" s="1"/>
  <c r="C147" i="13" s="1"/>
  <c r="C148" i="13" s="1"/>
  <c r="C149" i="13" s="1"/>
  <c r="C150" i="13" s="1"/>
  <c r="C151" i="13" s="1"/>
  <c r="C152" i="13" s="1"/>
  <c r="C153" i="13" s="1"/>
  <c r="C154" i="13" s="1"/>
  <c r="C155" i="13" s="1"/>
  <c r="C156" i="13" s="1"/>
  <c r="C157" i="13" s="1"/>
  <c r="C158" i="13" s="1"/>
  <c r="C159" i="13" s="1"/>
  <c r="C160" i="13" s="1"/>
  <c r="C161" i="13" s="1"/>
  <c r="I163" i="38"/>
  <c r="K163" i="38"/>
  <c r="E17" i="5"/>
  <c r="E19" i="5"/>
  <c r="G19" i="5"/>
  <c r="G17" i="5"/>
  <c r="L237" i="2"/>
  <c r="L239" i="2" s="1"/>
  <c r="E63" i="9"/>
  <c r="I50" i="30"/>
  <c r="M43" i="11"/>
  <c r="G192" i="2" s="1"/>
  <c r="L192" i="2" s="1"/>
  <c r="C163" i="38"/>
  <c r="J143" i="38"/>
  <c r="J149" i="38" s="1"/>
  <c r="G134" i="38"/>
  <c r="G140" i="38"/>
  <c r="D35" i="5"/>
  <c r="A150" i="38"/>
  <c r="G135" i="38"/>
  <c r="A147" i="38"/>
  <c r="J56" i="38"/>
  <c r="G17" i="38"/>
  <c r="G23" i="38" s="1"/>
  <c r="G91" i="39"/>
  <c r="G84" i="39"/>
  <c r="E93" i="39"/>
  <c r="G98" i="2"/>
  <c r="G97" i="2"/>
  <c r="K48" i="11" s="1"/>
  <c r="H42" i="41"/>
  <c r="G271" i="2" s="1"/>
  <c r="J27" i="8"/>
  <c r="J31" i="8" s="1"/>
  <c r="E73" i="9"/>
  <c r="P126" i="13"/>
  <c r="G155" i="2"/>
  <c r="G118" i="2" s="1"/>
  <c r="P114" i="13"/>
  <c r="E62" i="6"/>
  <c r="E31" i="6" s="1"/>
  <c r="J62" i="6"/>
  <c r="J31" i="6" s="1"/>
  <c r="P155" i="13"/>
  <c r="P153" i="13"/>
  <c r="P129" i="13"/>
  <c r="P102" i="13"/>
  <c r="P158" i="13"/>
  <c r="P154" i="13"/>
  <c r="P130" i="13"/>
  <c r="P118" i="13"/>
  <c r="P111" i="13"/>
  <c r="P108" i="13"/>
  <c r="H255" i="2"/>
  <c r="P161" i="13"/>
  <c r="P145" i="13"/>
  <c r="P141" i="13"/>
  <c r="P137" i="13"/>
  <c r="P133" i="13"/>
  <c r="P125" i="13"/>
  <c r="P117" i="13"/>
  <c r="P106" i="13"/>
  <c r="S22" i="21"/>
  <c r="P138" i="13"/>
  <c r="P134" i="13"/>
  <c r="P122" i="13"/>
  <c r="P110" i="13"/>
  <c r="A34" i="5"/>
  <c r="A35" i="5" s="1"/>
  <c r="A36" i="5" s="1"/>
  <c r="A39" i="5" s="1"/>
  <c r="A41" i="5" s="1"/>
  <c r="C56" i="38"/>
  <c r="C93" i="39"/>
  <c r="I52" i="5"/>
  <c r="L108" i="2" s="1"/>
  <c r="E266" i="2"/>
  <c r="E264" i="2"/>
  <c r="A29" i="41"/>
  <c r="A30" i="41" s="1"/>
  <c r="A31" i="41" s="1"/>
  <c r="A32" i="41" s="1"/>
  <c r="A33" i="41" s="1"/>
  <c r="A34" i="41" s="1"/>
  <c r="A35" i="41" s="1"/>
  <c r="A36" i="41" s="1"/>
  <c r="A37" i="41" s="1"/>
  <c r="A38" i="41" s="1"/>
  <c r="A39" i="41" s="1"/>
  <c r="A40" i="41" s="1"/>
  <c r="A41" i="41" s="1"/>
  <c r="A42" i="41" s="1"/>
  <c r="E267" i="2"/>
  <c r="D28" i="5"/>
  <c r="E66" i="2"/>
  <c r="E73" i="2"/>
  <c r="F26" i="49"/>
  <c r="H25" i="49"/>
  <c r="K25" i="49" s="1"/>
  <c r="J91" i="6"/>
  <c r="J32" i="6" s="1"/>
  <c r="E192" i="2"/>
  <c r="E189" i="2"/>
  <c r="A48" i="11"/>
  <c r="E193" i="2"/>
  <c r="E71" i="2"/>
  <c r="E67" i="2"/>
  <c r="E70" i="2"/>
  <c r="E74" i="2"/>
  <c r="E72" i="2"/>
  <c r="A29" i="35"/>
  <c r="A30" i="35" s="1"/>
  <c r="A31" i="35" s="1"/>
  <c r="A32" i="35" s="1"/>
  <c r="A33" i="35" s="1"/>
  <c r="A34" i="35" s="1"/>
  <c r="A35" i="35" s="1"/>
  <c r="A36" i="35" s="1"/>
  <c r="A37" i="35" s="1"/>
  <c r="A38" i="35" s="1"/>
  <c r="A39" i="35" s="1"/>
  <c r="A40" i="35" s="1"/>
  <c r="A41" i="35" s="1"/>
  <c r="A42" i="35" s="1"/>
  <c r="H24" i="49"/>
  <c r="E91" i="6"/>
  <c r="E32" i="6" s="1"/>
  <c r="K91" i="6"/>
  <c r="K32" i="6" s="1"/>
  <c r="K33" i="6" s="1"/>
  <c r="I43" i="11"/>
  <c r="G189" i="2" s="1"/>
  <c r="I33" i="6"/>
  <c r="G124" i="2" s="1"/>
  <c r="G95" i="2"/>
  <c r="G48" i="11" s="1"/>
  <c r="G51" i="11" s="1"/>
  <c r="G53" i="11" s="1"/>
  <c r="G55" i="11" s="1"/>
  <c r="E23" i="11"/>
  <c r="G23" i="11" s="1"/>
  <c r="G43" i="11" s="1"/>
  <c r="G191" i="2" s="1"/>
  <c r="E27" i="30"/>
  <c r="E128" i="30" s="1"/>
  <c r="G138" i="38"/>
  <c r="G139" i="38"/>
  <c r="P159" i="13"/>
  <c r="P151" i="13"/>
  <c r="P147" i="13"/>
  <c r="P143" i="13"/>
  <c r="P139" i="13"/>
  <c r="P131" i="13"/>
  <c r="P123" i="13"/>
  <c r="P119" i="13"/>
  <c r="P115" i="13"/>
  <c r="G160" i="38"/>
  <c r="F88" i="35"/>
  <c r="G115" i="2" s="1"/>
  <c r="D33" i="6"/>
  <c r="I56" i="49"/>
  <c r="S17" i="21"/>
  <c r="P144" i="13"/>
  <c r="P128" i="13"/>
  <c r="P157" i="13"/>
  <c r="P121" i="13"/>
  <c r="P113" i="13"/>
  <c r="P105" i="13"/>
  <c r="P132" i="13"/>
  <c r="P156" i="13"/>
  <c r="P152" i="13"/>
  <c r="P148" i="13"/>
  <c r="P140" i="13"/>
  <c r="P136" i="13"/>
  <c r="P120" i="13"/>
  <c r="P116" i="13"/>
  <c r="P112" i="13"/>
  <c r="P127" i="13"/>
  <c r="P160" i="13"/>
  <c r="L80" i="2"/>
  <c r="P107" i="13"/>
  <c r="P104" i="13"/>
  <c r="P103" i="13"/>
  <c r="P150" i="13"/>
  <c r="P135" i="13"/>
  <c r="P109" i="13"/>
  <c r="P149" i="13"/>
  <c r="P146" i="13"/>
  <c r="P142" i="13"/>
  <c r="G96" i="2"/>
  <c r="L70" i="2"/>
  <c r="P124" i="13"/>
  <c r="E89" i="2" l="1"/>
  <c r="E90" i="2"/>
  <c r="J82" i="2"/>
  <c r="J181" i="2" s="1"/>
  <c r="L181" i="2" s="1"/>
  <c r="G201" i="2"/>
  <c r="L96" i="2"/>
  <c r="A42" i="9"/>
  <c r="A43" i="9" s="1"/>
  <c r="A44" i="9" s="1"/>
  <c r="G163" i="38"/>
  <c r="G102" i="13"/>
  <c r="L68" i="2"/>
  <c r="E104" i="41"/>
  <c r="E22" i="20"/>
  <c r="A84" i="35"/>
  <c r="E113" i="2"/>
  <c r="M90" i="13"/>
  <c r="N21" i="13" s="1"/>
  <c r="N90" i="20"/>
  <c r="D36" i="5"/>
  <c r="H23" i="32"/>
  <c r="K23" i="32" s="1"/>
  <c r="D24" i="32"/>
  <c r="E103" i="41"/>
  <c r="I19" i="5"/>
  <c r="J33" i="6"/>
  <c r="G123" i="2" s="1"/>
  <c r="E43" i="11"/>
  <c r="E33" i="6"/>
  <c r="G126" i="2" s="1"/>
  <c r="L126" i="2" s="1"/>
  <c r="F41" i="32"/>
  <c r="F42" i="32" s="1"/>
  <c r="F43" i="32" s="1"/>
  <c r="F44" i="32" s="1"/>
  <c r="F38" i="32"/>
  <c r="N90" i="13"/>
  <c r="O21" i="13" s="1"/>
  <c r="E20" i="5"/>
  <c r="G28" i="5"/>
  <c r="I17" i="5"/>
  <c r="G20" i="5"/>
  <c r="G44" i="5"/>
  <c r="I49" i="5"/>
  <c r="I51" i="5" s="1"/>
  <c r="G108" i="2" s="1"/>
  <c r="D34" i="5"/>
  <c r="A152" i="38"/>
  <c r="A154" i="38" s="1"/>
  <c r="A156" i="38" s="1"/>
  <c r="A158" i="38" s="1"/>
  <c r="A159" i="38" s="1"/>
  <c r="A160" i="38" s="1"/>
  <c r="A161" i="38" s="1"/>
  <c r="A162" i="38" s="1"/>
  <c r="A163" i="38" s="1"/>
  <c r="D52" i="5" s="1"/>
  <c r="G62" i="11"/>
  <c r="G64" i="11" s="1"/>
  <c r="G66" i="11" s="1"/>
  <c r="K62" i="11"/>
  <c r="K64" i="11" s="1"/>
  <c r="K66" i="11" s="1"/>
  <c r="K51" i="11"/>
  <c r="S33" i="21"/>
  <c r="L217" i="2" s="1"/>
  <c r="A50" i="11"/>
  <c r="A51" i="11" s="1"/>
  <c r="D33" i="2"/>
  <c r="E31" i="2"/>
  <c r="B31" i="2"/>
  <c r="B33" i="2" s="1"/>
  <c r="B34" i="2" s="1"/>
  <c r="K24" i="49"/>
  <c r="E20" i="2"/>
  <c r="E85" i="2"/>
  <c r="E88" i="2"/>
  <c r="A49" i="35"/>
  <c r="A50" i="35" s="1"/>
  <c r="A51" i="35" s="1"/>
  <c r="A52" i="35" s="1"/>
  <c r="A53" i="35" s="1"/>
  <c r="A54" i="35" s="1"/>
  <c r="A55" i="35" s="1"/>
  <c r="A56" i="35" s="1"/>
  <c r="A57" i="35" s="1"/>
  <c r="A58" i="35" s="1"/>
  <c r="A59" i="35" s="1"/>
  <c r="A60" i="35" s="1"/>
  <c r="A61" i="35" s="1"/>
  <c r="A62" i="35" s="1"/>
  <c r="E84" i="2"/>
  <c r="E83" i="2"/>
  <c r="E86" i="2"/>
  <c r="E87" i="2"/>
  <c r="E81" i="2"/>
  <c r="E80" i="2"/>
  <c r="E82" i="2"/>
  <c r="F27" i="49"/>
  <c r="H26" i="49"/>
  <c r="K26" i="49" s="1"/>
  <c r="G194" i="2"/>
  <c r="A41" i="48"/>
  <c r="E159" i="2"/>
  <c r="A48" i="41"/>
  <c r="A49" i="41" s="1"/>
  <c r="A42" i="5"/>
  <c r="A43" i="5" s="1"/>
  <c r="A44" i="5" s="1"/>
  <c r="A47" i="5" s="1"/>
  <c r="A49" i="5" s="1"/>
  <c r="F102" i="20"/>
  <c r="D103" i="20" s="1"/>
  <c r="J250" i="2"/>
  <c r="L250" i="2" s="1"/>
  <c r="J155" i="2"/>
  <c r="L155" i="2" s="1"/>
  <c r="J69" i="2"/>
  <c r="L69" i="2" s="1"/>
  <c r="J169" i="2"/>
  <c r="L169" i="2" s="1"/>
  <c r="J119" i="2"/>
  <c r="L119" i="2" s="1"/>
  <c r="J168" i="2"/>
  <c r="I48" i="11"/>
  <c r="E103" i="13"/>
  <c r="F103" i="13" s="1"/>
  <c r="D104" i="13" s="1"/>
  <c r="J78" i="2" l="1"/>
  <c r="J83" i="2"/>
  <c r="L83" i="2" s="1"/>
  <c r="G207" i="2"/>
  <c r="L255" i="2"/>
  <c r="L257" i="2" s="1"/>
  <c r="F59" i="13"/>
  <c r="G75" i="20"/>
  <c r="H75" i="13"/>
  <c r="E168" i="2"/>
  <c r="A47" i="9"/>
  <c r="A48" i="9" s="1"/>
  <c r="C51" i="11"/>
  <c r="E105" i="41"/>
  <c r="L262" i="2"/>
  <c r="D25" i="32"/>
  <c r="H24" i="32"/>
  <c r="K24" i="32" s="1"/>
  <c r="G76" i="20"/>
  <c r="H76" i="13"/>
  <c r="G59" i="20"/>
  <c r="G127" i="2"/>
  <c r="P21" i="13"/>
  <c r="O90" i="13"/>
  <c r="G104" i="2"/>
  <c r="I20" i="5"/>
  <c r="L104" i="2" s="1"/>
  <c r="G72" i="11"/>
  <c r="G74" i="11" s="1"/>
  <c r="G76" i="11" s="1"/>
  <c r="K53" i="11"/>
  <c r="K55" i="11" s="1"/>
  <c r="K72" i="11"/>
  <c r="K74" i="11" s="1"/>
  <c r="K76" i="11" s="1"/>
  <c r="K78" i="11" s="1"/>
  <c r="K79" i="11" s="1"/>
  <c r="I68" i="11"/>
  <c r="K68" i="11"/>
  <c r="K69" i="11" s="1"/>
  <c r="G68" i="11"/>
  <c r="G69" i="11" s="1"/>
  <c r="E68" i="11"/>
  <c r="A43" i="48"/>
  <c r="E160" i="2"/>
  <c r="B43" i="48"/>
  <c r="C70" i="20"/>
  <c r="B36" i="2"/>
  <c r="B37" i="2" s="1"/>
  <c r="C70" i="13"/>
  <c r="D36" i="2"/>
  <c r="A52" i="11"/>
  <c r="A53" i="11" s="1"/>
  <c r="A50" i="41"/>
  <c r="A51" i="41" s="1"/>
  <c r="A52" i="41" s="1"/>
  <c r="A53" i="41" s="1"/>
  <c r="A54" i="41" s="1"/>
  <c r="A55" i="41" s="1"/>
  <c r="A56" i="41" s="1"/>
  <c r="D236" i="2"/>
  <c r="D235" i="2"/>
  <c r="F45" i="32"/>
  <c r="A50" i="5"/>
  <c r="A51" i="5" s="1"/>
  <c r="A52" i="5" s="1"/>
  <c r="D44" i="5"/>
  <c r="G103" i="13"/>
  <c r="H27" i="49"/>
  <c r="K27" i="49" s="1"/>
  <c r="F28" i="49"/>
  <c r="E104" i="13"/>
  <c r="F104" i="13" s="1"/>
  <c r="E103" i="20"/>
  <c r="F103" i="20" s="1"/>
  <c r="D104" i="20" s="1"/>
  <c r="I62" i="11"/>
  <c r="I51" i="11"/>
  <c r="L118" i="2"/>
  <c r="L95" i="2" l="1"/>
  <c r="J86" i="2"/>
  <c r="L86" i="2" s="1"/>
  <c r="A49" i="9"/>
  <c r="A50" i="9" s="1"/>
  <c r="A51" i="9" s="1"/>
  <c r="A52" i="9" s="1"/>
  <c r="A53" i="9" s="1"/>
  <c r="A54" i="9" s="1"/>
  <c r="A55" i="9" s="1"/>
  <c r="A56" i="9" s="1"/>
  <c r="A57" i="9" s="1"/>
  <c r="A58" i="9" s="1"/>
  <c r="A59" i="9" s="1"/>
  <c r="A60" i="9" s="1"/>
  <c r="A61" i="9" s="1"/>
  <c r="A63" i="9" s="1"/>
  <c r="J165" i="2"/>
  <c r="J171" i="2"/>
  <c r="J183" i="2"/>
  <c r="L183" i="2" s="1"/>
  <c r="J88" i="2"/>
  <c r="L88" i="2" s="1"/>
  <c r="J87" i="2"/>
  <c r="L87" i="2" s="1"/>
  <c r="J74" i="2"/>
  <c r="L74" i="2" s="1"/>
  <c r="J73" i="2"/>
  <c r="L73" i="2" s="1"/>
  <c r="J123" i="2"/>
  <c r="L123" i="2" s="1"/>
  <c r="J182" i="2"/>
  <c r="L182" i="2" s="1"/>
  <c r="J72" i="2"/>
  <c r="L72" i="2" s="1"/>
  <c r="J121" i="2"/>
  <c r="L121" i="2" s="1"/>
  <c r="J115" i="2"/>
  <c r="L115" i="2" s="1"/>
  <c r="J189" i="2"/>
  <c r="L189" i="2" s="1"/>
  <c r="G77" i="20"/>
  <c r="G78" i="20" s="1"/>
  <c r="G79" i="20" s="1"/>
  <c r="D97" i="20" s="1"/>
  <c r="H77" i="13"/>
  <c r="H78" i="13" s="1"/>
  <c r="H79" i="13" s="1"/>
  <c r="D98" i="13" s="1"/>
  <c r="D26" i="32"/>
  <c r="H25" i="32"/>
  <c r="K25" i="32" s="1"/>
  <c r="A62" i="38"/>
  <c r="A63" i="38" s="1"/>
  <c r="A64" i="38" s="1"/>
  <c r="A65" i="38" s="1"/>
  <c r="A66" i="38" s="1"/>
  <c r="I72" i="11"/>
  <c r="I74" i="11" s="1"/>
  <c r="M68" i="11"/>
  <c r="K57" i="11"/>
  <c r="K58" i="11" s="1"/>
  <c r="B39" i="2"/>
  <c r="B42" i="2" s="1"/>
  <c r="B44" i="2" s="1"/>
  <c r="B24" i="2"/>
  <c r="A54" i="11"/>
  <c r="A55" i="11" s="1"/>
  <c r="F29" i="49"/>
  <c r="H28" i="49"/>
  <c r="K28" i="49" s="1"/>
  <c r="F46" i="32"/>
  <c r="A58" i="41"/>
  <c r="E261" i="2"/>
  <c r="B58" i="41"/>
  <c r="B56" i="41"/>
  <c r="D51" i="5"/>
  <c r="C53" i="11"/>
  <c r="A45" i="48"/>
  <c r="B47" i="48" s="1"/>
  <c r="D105" i="13"/>
  <c r="G104" i="13"/>
  <c r="E104" i="20"/>
  <c r="F104" i="20" s="1"/>
  <c r="D105" i="20" s="1"/>
  <c r="I53" i="11"/>
  <c r="I64" i="11"/>
  <c r="A67" i="38" l="1"/>
  <c r="A68" i="38" s="1"/>
  <c r="A69" i="38" s="1"/>
  <c r="A70" i="38" s="1"/>
  <c r="A71" i="38" s="1"/>
  <c r="A72" i="38" s="1"/>
  <c r="L185" i="2"/>
  <c r="L91" i="2"/>
  <c r="A29" i="38"/>
  <c r="A30" i="38" s="1"/>
  <c r="A31" i="38" s="1"/>
  <c r="A32" i="38" s="1"/>
  <c r="A33" i="38" s="1"/>
  <c r="A34" i="38" s="1"/>
  <c r="G64" i="20"/>
  <c r="F64" i="13"/>
  <c r="E169" i="2"/>
  <c r="A66" i="9"/>
  <c r="A67" i="9" s="1"/>
  <c r="A68" i="9" s="1"/>
  <c r="A69" i="9" s="1"/>
  <c r="A70" i="9" s="1"/>
  <c r="A71" i="9" s="1"/>
  <c r="A73" i="9" s="1"/>
  <c r="E170" i="2" s="1"/>
  <c r="L98" i="2"/>
  <c r="L97" i="2"/>
  <c r="F44" i="9"/>
  <c r="G168" i="2" s="1"/>
  <c r="E36" i="9"/>
  <c r="E44" i="9" s="1"/>
  <c r="D27" i="32"/>
  <c r="H26" i="32"/>
  <c r="K26" i="32" s="1"/>
  <c r="A61" i="41"/>
  <c r="D271" i="2"/>
  <c r="E161" i="2"/>
  <c r="A47" i="48"/>
  <c r="C21" i="48" s="1"/>
  <c r="B45" i="2"/>
  <c r="F47" i="32"/>
  <c r="A56" i="11"/>
  <c r="C56" i="11"/>
  <c r="F30" i="49"/>
  <c r="H29" i="49"/>
  <c r="K29" i="49" s="1"/>
  <c r="C55" i="11"/>
  <c r="E105" i="20"/>
  <c r="I55" i="11"/>
  <c r="I76" i="11"/>
  <c r="I66" i="11"/>
  <c r="I69" i="11" s="1"/>
  <c r="E105" i="13"/>
  <c r="F105" i="13" s="1"/>
  <c r="D106" i="13" s="1"/>
  <c r="A73" i="38" l="1"/>
  <c r="A74" i="38" s="1"/>
  <c r="A75" i="38" s="1"/>
  <c r="A76" i="38" s="1"/>
  <c r="A77" i="38" s="1"/>
  <c r="A78" i="38" s="1"/>
  <c r="A79" i="38" s="1"/>
  <c r="A35" i="38"/>
  <c r="A36" i="38" s="1"/>
  <c r="A37" i="38" s="1"/>
  <c r="A38" i="38" s="1"/>
  <c r="A39" i="38" s="1"/>
  <c r="A40" i="38" s="1"/>
  <c r="A41" i="38" s="1"/>
  <c r="A42" i="38" s="1"/>
  <c r="A43" i="38" s="1"/>
  <c r="L168" i="2"/>
  <c r="D28" i="32"/>
  <c r="H27" i="32"/>
  <c r="K27" i="32" s="1"/>
  <c r="B46" i="2"/>
  <c r="B48" i="2" s="1"/>
  <c r="B66" i="2" s="1"/>
  <c r="F48" i="32"/>
  <c r="A64" i="41"/>
  <c r="D63" i="41"/>
  <c r="F31" i="49"/>
  <c r="H30" i="49"/>
  <c r="K30" i="49" s="1"/>
  <c r="C57" i="11"/>
  <c r="A57" i="11"/>
  <c r="E106" i="13"/>
  <c r="G105" i="13"/>
  <c r="F105" i="20"/>
  <c r="D106" i="20" s="1"/>
  <c r="A80" i="38" l="1"/>
  <c r="A81" i="38" s="1"/>
  <c r="A82" i="38" s="1"/>
  <c r="A83" i="38" s="1"/>
  <c r="A84" i="38" s="1"/>
  <c r="A85" i="38" s="1"/>
  <c r="A86" i="38" s="1"/>
  <c r="A87" i="38" s="1"/>
  <c r="A88" i="38" s="1"/>
  <c r="A89" i="38" s="1"/>
  <c r="A90" i="38" s="1"/>
  <c r="A91" i="38" s="1"/>
  <c r="A92" i="38" s="1"/>
  <c r="A93" i="38" s="1"/>
  <c r="A94" i="38" s="1"/>
  <c r="A95" i="38" s="1"/>
  <c r="A96" i="38" s="1"/>
  <c r="A44" i="38"/>
  <c r="A45" i="38" s="1"/>
  <c r="A46" i="38" s="1"/>
  <c r="A47" i="38" s="1"/>
  <c r="E48" i="2"/>
  <c r="D319" i="2"/>
  <c r="H28" i="32"/>
  <c r="K28" i="32" s="1"/>
  <c r="D29" i="32"/>
  <c r="A65" i="41"/>
  <c r="A66" i="41" s="1"/>
  <c r="A67" i="41" s="1"/>
  <c r="A68" i="41" s="1"/>
  <c r="A69" i="41" s="1"/>
  <c r="A70" i="41" s="1"/>
  <c r="A71" i="41" s="1"/>
  <c r="A72" i="41" s="1"/>
  <c r="A73" i="41" s="1"/>
  <c r="A74" i="41" s="1"/>
  <c r="A58" i="11"/>
  <c r="C58" i="11"/>
  <c r="F49" i="32"/>
  <c r="B67" i="2"/>
  <c r="B68" i="2" s="1"/>
  <c r="F32" i="49"/>
  <c r="H31" i="49"/>
  <c r="K31" i="49" s="1"/>
  <c r="E106" i="20"/>
  <c r="F106" i="20" s="1"/>
  <c r="D107" i="20" s="1"/>
  <c r="F106" i="13"/>
  <c r="A97" i="38" l="1"/>
  <c r="A98" i="38" s="1"/>
  <c r="A99" i="38" s="1"/>
  <c r="A100" i="38" s="1"/>
  <c r="A101" i="38" s="1"/>
  <c r="A102" i="38" s="1"/>
  <c r="A103" i="38" s="1"/>
  <c r="A104" i="38" s="1"/>
  <c r="A105" i="38" s="1"/>
  <c r="A106" i="38" s="1"/>
  <c r="A107" i="38" s="1"/>
  <c r="A108" i="38" s="1"/>
  <c r="A109" i="38" s="1"/>
  <c r="A110" i="38" s="1"/>
  <c r="A111" i="38" s="1"/>
  <c r="A112" i="38" s="1"/>
  <c r="A113" i="38" s="1"/>
  <c r="A114" i="38" s="1"/>
  <c r="A115" i="38" s="1"/>
  <c r="A116" i="38" s="1"/>
  <c r="A117" i="38" s="1"/>
  <c r="A118" i="38" s="1"/>
  <c r="A48" i="38"/>
  <c r="A49" i="38" s="1"/>
  <c r="A50" i="38" s="1"/>
  <c r="A51" i="38" s="1"/>
  <c r="A52" i="38" s="1"/>
  <c r="A53" i="38" s="1"/>
  <c r="B76" i="41"/>
  <c r="D30" i="32"/>
  <c r="H29" i="32"/>
  <c r="F50" i="32"/>
  <c r="F33" i="49"/>
  <c r="H32" i="49"/>
  <c r="K32" i="49" s="1"/>
  <c r="E234" i="2"/>
  <c r="C75" i="20"/>
  <c r="C75" i="13"/>
  <c r="B69" i="2"/>
  <c r="B70" i="2" s="1"/>
  <c r="C59" i="11"/>
  <c r="A59" i="11"/>
  <c r="A61" i="11" s="1"/>
  <c r="A76" i="41"/>
  <c r="B50" i="41"/>
  <c r="E107" i="20"/>
  <c r="F107" i="20" s="1"/>
  <c r="D108" i="20" s="1"/>
  <c r="D107" i="13"/>
  <c r="G106" i="13"/>
  <c r="A119" i="38" l="1"/>
  <c r="A120" i="38" s="1"/>
  <c r="A121" i="38" s="1"/>
  <c r="A122" i="38" s="1"/>
  <c r="A123" i="38" s="1"/>
  <c r="A124" i="38" s="1"/>
  <c r="A125" i="38" s="1"/>
  <c r="A126" i="38" s="1"/>
  <c r="A127" i="38" s="1"/>
  <c r="A128" i="38" s="1"/>
  <c r="A129" i="38" s="1"/>
  <c r="A130" i="38" s="1"/>
  <c r="A131" i="38" s="1"/>
  <c r="A132" i="38" s="1"/>
  <c r="A133" i="38" s="1"/>
  <c r="A134" i="38" s="1"/>
  <c r="A135" i="38" s="1"/>
  <c r="A136" i="38" s="1"/>
  <c r="A137" i="38" s="1"/>
  <c r="A138" i="38" s="1"/>
  <c r="A139" i="38" s="1"/>
  <c r="K29" i="32"/>
  <c r="D31" i="32"/>
  <c r="H30" i="32"/>
  <c r="K30" i="32" s="1"/>
  <c r="I40" i="30"/>
  <c r="A77" i="41"/>
  <c r="A78" i="41" s="1"/>
  <c r="A79" i="41" s="1"/>
  <c r="A80" i="41" s="1"/>
  <c r="F34" i="49"/>
  <c r="H33" i="49"/>
  <c r="K33" i="49" s="1"/>
  <c r="A62" i="11"/>
  <c r="C62" i="11"/>
  <c r="B71" i="2"/>
  <c r="B72" i="2" s="1"/>
  <c r="F51" i="32"/>
  <c r="E108" i="20"/>
  <c r="F108" i="20" s="1"/>
  <c r="D109" i="20" s="1"/>
  <c r="E107" i="13"/>
  <c r="F107" i="13" s="1"/>
  <c r="D108" i="13" s="1"/>
  <c r="B80" i="41" l="1"/>
  <c r="H31" i="32"/>
  <c r="K31" i="32" s="1"/>
  <c r="D32" i="32"/>
  <c r="I34" i="30"/>
  <c r="I30" i="30"/>
  <c r="F41" i="49"/>
  <c r="F38" i="49"/>
  <c r="H34" i="49"/>
  <c r="A63" i="11"/>
  <c r="A64" i="11" s="1"/>
  <c r="C72" i="11"/>
  <c r="F52" i="32"/>
  <c r="B73" i="2"/>
  <c r="B74" i="2" s="1"/>
  <c r="B51" i="41"/>
  <c r="A85" i="41"/>
  <c r="E109" i="20"/>
  <c r="F109" i="20" s="1"/>
  <c r="D110" i="20" s="1"/>
  <c r="E108" i="13"/>
  <c r="F108" i="13" s="1"/>
  <c r="G107" i="13"/>
  <c r="D33" i="32" l="1"/>
  <c r="H32" i="32"/>
  <c r="K32" i="32" s="1"/>
  <c r="C64" i="11"/>
  <c r="K34" i="49"/>
  <c r="K35" i="49" s="1"/>
  <c r="D38" i="49" s="1"/>
  <c r="H38" i="49" s="1"/>
  <c r="H35" i="49"/>
  <c r="A65" i="11"/>
  <c r="A66" i="11" s="1"/>
  <c r="A86" i="41"/>
  <c r="F42" i="49"/>
  <c r="B77" i="2"/>
  <c r="B79" i="2" s="1"/>
  <c r="B80" i="2" s="1"/>
  <c r="E77" i="2"/>
  <c r="D109" i="13"/>
  <c r="G108" i="13"/>
  <c r="E110" i="20"/>
  <c r="F110" i="20" s="1"/>
  <c r="D111" i="20" s="1"/>
  <c r="H33" i="32" l="1"/>
  <c r="K33" i="32" s="1"/>
  <c r="D34" i="32"/>
  <c r="H34" i="32" s="1"/>
  <c r="K34" i="32" s="1"/>
  <c r="C66" i="11"/>
  <c r="A87" i="41"/>
  <c r="A88" i="41" s="1"/>
  <c r="A67" i="11"/>
  <c r="C67" i="11"/>
  <c r="B81" i="2"/>
  <c r="B82" i="2" s="1"/>
  <c r="F43" i="49"/>
  <c r="K38" i="49"/>
  <c r="E111" i="20"/>
  <c r="F111" i="20" s="1"/>
  <c r="E109" i="13"/>
  <c r="F109" i="13" s="1"/>
  <c r="D110" i="13" s="1"/>
  <c r="K35" i="32" l="1"/>
  <c r="D38" i="32" s="1"/>
  <c r="H38" i="32" s="1"/>
  <c r="K38" i="32" s="1"/>
  <c r="D41" i="32" s="1"/>
  <c r="E94" i="2"/>
  <c r="H35" i="32"/>
  <c r="D112" i="20"/>
  <c r="E112" i="20" s="1"/>
  <c r="F112" i="20" s="1"/>
  <c r="F44" i="49"/>
  <c r="A68" i="11"/>
  <c r="C68" i="11"/>
  <c r="D41" i="49"/>
  <c r="I41" i="49"/>
  <c r="A89" i="41"/>
  <c r="B89" i="41"/>
  <c r="B83" i="2"/>
  <c r="B84" i="2" s="1"/>
  <c r="B88" i="41"/>
  <c r="G109" i="13"/>
  <c r="E110" i="13"/>
  <c r="F110" i="13" s="1"/>
  <c r="I41" i="32" l="1"/>
  <c r="I42" i="32" s="1"/>
  <c r="I43" i="32" s="1"/>
  <c r="I44" i="32" s="1"/>
  <c r="I45" i="32" s="1"/>
  <c r="I46" i="32" s="1"/>
  <c r="I47" i="32" s="1"/>
  <c r="I48" i="32" s="1"/>
  <c r="I49" i="32" s="1"/>
  <c r="I50" i="32" s="1"/>
  <c r="I51" i="32" s="1"/>
  <c r="I52" i="32" s="1"/>
  <c r="E95" i="2"/>
  <c r="H41" i="32"/>
  <c r="A69" i="11"/>
  <c r="C69" i="11"/>
  <c r="A91" i="41"/>
  <c r="F45" i="49"/>
  <c r="I42" i="49"/>
  <c r="I43" i="49" s="1"/>
  <c r="I44" i="49" s="1"/>
  <c r="I45" i="49" s="1"/>
  <c r="I46" i="49" s="1"/>
  <c r="I47" i="49" s="1"/>
  <c r="I48" i="49" s="1"/>
  <c r="I49" i="49" s="1"/>
  <c r="I50" i="49" s="1"/>
  <c r="I51" i="49" s="1"/>
  <c r="I52" i="49" s="1"/>
  <c r="B85" i="2"/>
  <c r="B86" i="2" s="1"/>
  <c r="K41" i="49"/>
  <c r="D42" i="49" s="1"/>
  <c r="H41" i="49"/>
  <c r="D113" i="20"/>
  <c r="D111" i="13"/>
  <c r="G110" i="13"/>
  <c r="K41" i="32" l="1"/>
  <c r="D42" i="32" s="1"/>
  <c r="K42" i="32" s="1"/>
  <c r="D43" i="32" s="1"/>
  <c r="I55" i="32"/>
  <c r="I57" i="32" s="1"/>
  <c r="E96" i="2"/>
  <c r="A92" i="41"/>
  <c r="K42" i="49"/>
  <c r="D43" i="49" s="1"/>
  <c r="H42" i="49"/>
  <c r="B87" i="2"/>
  <c r="B88" i="2" s="1"/>
  <c r="I55" i="49"/>
  <c r="I57" i="49" s="1"/>
  <c r="C70" i="11"/>
  <c r="A70" i="11"/>
  <c r="A72" i="11" s="1"/>
  <c r="A73" i="11" s="1"/>
  <c r="A74" i="11" s="1"/>
  <c r="F46" i="49"/>
  <c r="E111" i="13"/>
  <c r="F111" i="13" s="1"/>
  <c r="E113" i="20"/>
  <c r="F113" i="20" s="1"/>
  <c r="D114" i="20" s="1"/>
  <c r="H42" i="32" l="1"/>
  <c r="E97" i="2"/>
  <c r="H43" i="32"/>
  <c r="K43" i="32"/>
  <c r="D44" i="32" s="1"/>
  <c r="F47" i="49"/>
  <c r="B91" i="2"/>
  <c r="B93" i="2" s="1"/>
  <c r="B94" i="2" s="1"/>
  <c r="E98" i="2"/>
  <c r="E91" i="2"/>
  <c r="A75" i="11"/>
  <c r="A76" i="11" s="1"/>
  <c r="K43" i="49"/>
  <c r="D44" i="49" s="1"/>
  <c r="H43" i="49"/>
  <c r="A93" i="41"/>
  <c r="A94" i="41" s="1"/>
  <c r="D112" i="13"/>
  <c r="G111" i="13"/>
  <c r="E114" i="20"/>
  <c r="F114" i="20" s="1"/>
  <c r="H44" i="32" l="1"/>
  <c r="K44" i="32"/>
  <c r="D45" i="32" s="1"/>
  <c r="B94" i="41"/>
  <c r="C76" i="11"/>
  <c r="A95" i="41"/>
  <c r="B95" i="41"/>
  <c r="F48" i="49"/>
  <c r="C77" i="11"/>
  <c r="A77" i="11"/>
  <c r="A78" i="11" s="1"/>
  <c r="C79" i="11" s="1"/>
  <c r="B95" i="2"/>
  <c r="K44" i="49"/>
  <c r="D45" i="49" s="1"/>
  <c r="H44" i="49"/>
  <c r="D115" i="20"/>
  <c r="E112" i="13"/>
  <c r="F112" i="13" s="1"/>
  <c r="K45" i="32" l="1"/>
  <c r="D46" i="32" s="1"/>
  <c r="H45" i="32"/>
  <c r="A79" i="11"/>
  <c r="C78" i="11"/>
  <c r="K45" i="49"/>
  <c r="D46" i="49" s="1"/>
  <c r="H45" i="49"/>
  <c r="C64" i="13"/>
  <c r="C64" i="20"/>
  <c r="B96" i="2"/>
  <c r="B97" i="2" s="1"/>
  <c r="B98" i="2" s="1"/>
  <c r="F49" i="49"/>
  <c r="A97" i="41"/>
  <c r="D113" i="13"/>
  <c r="G112" i="13"/>
  <c r="E115" i="20"/>
  <c r="F115" i="20" s="1"/>
  <c r="K46" i="32" l="1"/>
  <c r="D47" i="32" s="1"/>
  <c r="H46" i="32"/>
  <c r="K46" i="49"/>
  <c r="D47" i="49" s="1"/>
  <c r="H46" i="49"/>
  <c r="B100" i="2"/>
  <c r="E100" i="2"/>
  <c r="A98" i="41"/>
  <c r="C80" i="11"/>
  <c r="A80" i="11"/>
  <c r="F50" i="49"/>
  <c r="D116" i="20"/>
  <c r="E113" i="13"/>
  <c r="F113" i="13" s="1"/>
  <c r="K47" i="32" l="1"/>
  <c r="D48" i="32" s="1"/>
  <c r="H47" i="32"/>
  <c r="K47" i="49"/>
  <c r="D48" i="49" s="1"/>
  <c r="H47" i="49"/>
  <c r="B103" i="2"/>
  <c r="B104" i="2" s="1"/>
  <c r="C48" i="11"/>
  <c r="A99" i="41"/>
  <c r="A100" i="41" s="1"/>
  <c r="F51" i="49"/>
  <c r="D114" i="13"/>
  <c r="G113" i="13"/>
  <c r="E116" i="20"/>
  <c r="F116" i="20" s="1"/>
  <c r="D117" i="20" s="1"/>
  <c r="B100" i="41" l="1"/>
  <c r="K48" i="32"/>
  <c r="D49" i="32" s="1"/>
  <c r="H48" i="32"/>
  <c r="A101" i="41"/>
  <c r="B103" i="41"/>
  <c r="B101" i="41"/>
  <c r="B105" i="2"/>
  <c r="B106" i="2" s="1"/>
  <c r="B107" i="2" s="1"/>
  <c r="B108" i="2" s="1"/>
  <c r="B109" i="2" s="1"/>
  <c r="F52" i="49"/>
  <c r="K48" i="49"/>
  <c r="D49" i="49" s="1"/>
  <c r="H48" i="49"/>
  <c r="E117" i="20"/>
  <c r="F117" i="20" s="1"/>
  <c r="D118" i="20" s="1"/>
  <c r="E114" i="13"/>
  <c r="F114" i="13" s="1"/>
  <c r="E109" i="2" l="1"/>
  <c r="K49" i="32"/>
  <c r="D50" i="32" s="1"/>
  <c r="H49" i="32"/>
  <c r="B111" i="2"/>
  <c r="B113" i="2" s="1"/>
  <c r="B115" i="2" s="1"/>
  <c r="B117" i="2" s="1"/>
  <c r="B118" i="2" s="1"/>
  <c r="K49" i="49"/>
  <c r="D50" i="49" s="1"/>
  <c r="H49" i="49"/>
  <c r="A103" i="41"/>
  <c r="B104" i="41"/>
  <c r="D115" i="13"/>
  <c r="E115" i="13" s="1"/>
  <c r="F115" i="13" s="1"/>
  <c r="G114" i="13"/>
  <c r="E118" i="20"/>
  <c r="F118" i="20" s="1"/>
  <c r="D119" i="20" s="1"/>
  <c r="K50" i="32" l="1"/>
  <c r="D51" i="32" s="1"/>
  <c r="H50" i="32"/>
  <c r="E262" i="2"/>
  <c r="A104" i="41"/>
  <c r="K50" i="49"/>
  <c r="D51" i="49" s="1"/>
  <c r="H50" i="49"/>
  <c r="B119" i="2"/>
  <c r="B121" i="2" s="1"/>
  <c r="B122" i="2" s="1"/>
  <c r="B123" i="2" s="1"/>
  <c r="B124" i="2" s="1"/>
  <c r="B125" i="2" s="1"/>
  <c r="B126" i="2" s="1"/>
  <c r="B127" i="2" s="1"/>
  <c r="D116" i="13"/>
  <c r="G115" i="13"/>
  <c r="E119" i="20"/>
  <c r="F119" i="20" s="1"/>
  <c r="K51" i="32" l="1"/>
  <c r="D52" i="32" s="1"/>
  <c r="H51" i="32"/>
  <c r="D120" i="20"/>
  <c r="E120" i="20" s="1"/>
  <c r="F120" i="20" s="1"/>
  <c r="E127" i="2"/>
  <c r="B129" i="2"/>
  <c r="D131" i="2" s="1"/>
  <c r="K51" i="49"/>
  <c r="D52" i="49" s="1"/>
  <c r="H51" i="49"/>
  <c r="A105" i="41"/>
  <c r="B105" i="41"/>
  <c r="E116" i="13"/>
  <c r="F116" i="13" s="1"/>
  <c r="H52" i="32" l="1"/>
  <c r="H53" i="32" s="1"/>
  <c r="K52" i="32"/>
  <c r="D121" i="20"/>
  <c r="E121" i="20" s="1"/>
  <c r="F121" i="20" s="1"/>
  <c r="D122" i="20" s="1"/>
  <c r="K52" i="49"/>
  <c r="H52" i="49"/>
  <c r="H53" i="49" s="1"/>
  <c r="D315" i="2"/>
  <c r="B131" i="2"/>
  <c r="D117" i="13"/>
  <c r="E117" i="13" s="1"/>
  <c r="F117" i="13" s="1"/>
  <c r="D118" i="13" s="1"/>
  <c r="G116" i="13"/>
  <c r="C28" i="13" l="1"/>
  <c r="C28" i="20"/>
  <c r="B146" i="2"/>
  <c r="E118" i="13"/>
  <c r="F118" i="13" s="1"/>
  <c r="E122" i="20"/>
  <c r="F122" i="20" s="1"/>
  <c r="G117" i="13"/>
  <c r="B147" i="2" l="1"/>
  <c r="B148" i="2" s="1"/>
  <c r="B149" i="2" s="1"/>
  <c r="B150" i="2" s="1"/>
  <c r="E151" i="2" s="1"/>
  <c r="D123" i="20"/>
  <c r="D119" i="13"/>
  <c r="G118" i="13"/>
  <c r="B151" i="2" l="1"/>
  <c r="B152" i="2" s="1"/>
  <c r="E119" i="13"/>
  <c r="F119" i="13" s="1"/>
  <c r="E123" i="20"/>
  <c r="F123" i="20" s="1"/>
  <c r="D310" i="2" l="1"/>
  <c r="B153" i="2"/>
  <c r="E44" i="2"/>
  <c r="D124" i="20"/>
  <c r="D120" i="13"/>
  <c r="G119" i="13"/>
  <c r="B154" i="2" l="1"/>
  <c r="E155" i="2" s="1"/>
  <c r="E120" i="13"/>
  <c r="F120" i="13" s="1"/>
  <c r="E124" i="20"/>
  <c r="F124" i="20" s="1"/>
  <c r="B155" i="2" l="1"/>
  <c r="D312" i="2"/>
  <c r="D121" i="13"/>
  <c r="G120" i="13"/>
  <c r="D125" i="20"/>
  <c r="E118" i="2" l="1"/>
  <c r="B157" i="2"/>
  <c r="D309" i="2"/>
  <c r="E125" i="20"/>
  <c r="F125" i="20" s="1"/>
  <c r="D126" i="20" s="1"/>
  <c r="E121" i="13"/>
  <c r="F121" i="13" s="1"/>
  <c r="B158" i="2" l="1"/>
  <c r="D122" i="13"/>
  <c r="G121" i="13"/>
  <c r="E126" i="20"/>
  <c r="F126" i="20" s="1"/>
  <c r="D127" i="20" l="1"/>
  <c r="E127" i="20" s="1"/>
  <c r="F127" i="20" s="1"/>
  <c r="D128" i="20" s="1"/>
  <c r="E167" i="2"/>
  <c r="B159" i="2"/>
  <c r="B160" i="2" s="1"/>
  <c r="B161" i="2" s="1"/>
  <c r="B162" i="2" s="1"/>
  <c r="B163" i="2" s="1"/>
  <c r="B164" i="2" s="1"/>
  <c r="E122" i="13"/>
  <c r="F122" i="13" s="1"/>
  <c r="D123" i="13" s="1"/>
  <c r="B165" i="2" l="1"/>
  <c r="E165" i="2"/>
  <c r="E123" i="13"/>
  <c r="F123" i="13" s="1"/>
  <c r="E128" i="20"/>
  <c r="F128" i="20" s="1"/>
  <c r="G122" i="13"/>
  <c r="D129" i="20" l="1"/>
  <c r="E129" i="20" s="1"/>
  <c r="F129" i="20" s="1"/>
  <c r="B167" i="2"/>
  <c r="B168" i="2" s="1"/>
  <c r="B169" i="2" s="1"/>
  <c r="B170" i="2" s="1"/>
  <c r="B171" i="2" s="1"/>
  <c r="B172" i="2" s="1"/>
  <c r="D124" i="13"/>
  <c r="G123" i="13"/>
  <c r="E172" i="2" l="1"/>
  <c r="B174" i="2"/>
  <c r="D313" i="2"/>
  <c r="E174" i="2"/>
  <c r="D130" i="20"/>
  <c r="E124" i="13"/>
  <c r="F124" i="13" s="1"/>
  <c r="D125" i="13" s="1"/>
  <c r="B175" i="2" l="1"/>
  <c r="E176" i="2" s="1"/>
  <c r="E125" i="13"/>
  <c r="F125" i="13" s="1"/>
  <c r="G124" i="13"/>
  <c r="E130" i="20"/>
  <c r="F130" i="20" s="1"/>
  <c r="C48" i="13" l="1"/>
  <c r="C48" i="20"/>
  <c r="B176" i="2"/>
  <c r="D328" i="2"/>
  <c r="E30" i="2"/>
  <c r="D326" i="2"/>
  <c r="D323" i="2"/>
  <c r="D131" i="20"/>
  <c r="D126" i="13"/>
  <c r="G125" i="13"/>
  <c r="B178" i="2" l="1"/>
  <c r="B179" i="2" s="1"/>
  <c r="E126" i="13"/>
  <c r="F126" i="13" s="1"/>
  <c r="E131" i="20"/>
  <c r="F131" i="20" s="1"/>
  <c r="B180" i="2" l="1"/>
  <c r="B181" i="2" s="1"/>
  <c r="D132" i="20"/>
  <c r="D127" i="13"/>
  <c r="G126" i="13"/>
  <c r="C59" i="13" l="1"/>
  <c r="C59" i="20"/>
  <c r="B182" i="2"/>
  <c r="C76" i="20"/>
  <c r="C76" i="13"/>
  <c r="E34" i="2"/>
  <c r="E127" i="13"/>
  <c r="F127" i="13" s="1"/>
  <c r="E132" i="20"/>
  <c r="F132" i="20" s="1"/>
  <c r="D133" i="20" s="1"/>
  <c r="B183" i="2" l="1"/>
  <c r="B185" i="2" s="1"/>
  <c r="D128" i="13"/>
  <c r="G127" i="13"/>
  <c r="E133" i="20"/>
  <c r="F133" i="20" s="1"/>
  <c r="E185" i="2" l="1"/>
  <c r="B187" i="2"/>
  <c r="B188" i="2" s="1"/>
  <c r="B189" i="2" s="1"/>
  <c r="D134" i="20"/>
  <c r="E128" i="13"/>
  <c r="F128" i="13" s="1"/>
  <c r="B190" i="2" l="1"/>
  <c r="B191" i="2" s="1"/>
  <c r="B192" i="2" s="1"/>
  <c r="B193" i="2" s="1"/>
  <c r="B194" i="2" s="1"/>
  <c r="D129" i="13"/>
  <c r="G128" i="13"/>
  <c r="E134" i="20"/>
  <c r="F134" i="20" s="1"/>
  <c r="D135" i="20" l="1"/>
  <c r="E135" i="20" s="1"/>
  <c r="F135" i="20" s="1"/>
  <c r="B196" i="2"/>
  <c r="B197" i="2" s="1"/>
  <c r="E194" i="2"/>
  <c r="E129" i="13"/>
  <c r="F129" i="13" s="1"/>
  <c r="B198" i="2" l="1"/>
  <c r="D201" i="2"/>
  <c r="D136" i="20"/>
  <c r="E136" i="20" s="1"/>
  <c r="F136" i="20" s="1"/>
  <c r="D130" i="13"/>
  <c r="G129" i="13"/>
  <c r="B199" i="2" l="1"/>
  <c r="B200" i="2" s="1"/>
  <c r="B201" i="2" s="1"/>
  <c r="C35" i="20"/>
  <c r="C35" i="13"/>
  <c r="D137" i="20"/>
  <c r="E130" i="13"/>
  <c r="F130" i="13" s="1"/>
  <c r="D131" i="13" s="1"/>
  <c r="B202" i="2" l="1"/>
  <c r="G130" i="13"/>
  <c r="E131" i="13"/>
  <c r="F131" i="13" s="1"/>
  <c r="E137" i="20"/>
  <c r="F137" i="20" s="1"/>
  <c r="D138" i="20" s="1"/>
  <c r="D354" i="2" l="1"/>
  <c r="B203" i="2"/>
  <c r="E207" i="2"/>
  <c r="D132" i="13"/>
  <c r="G131" i="13"/>
  <c r="E138" i="20"/>
  <c r="F138" i="20" s="1"/>
  <c r="D139" i="20" l="1"/>
  <c r="E139" i="20" s="1"/>
  <c r="F139" i="20" s="1"/>
  <c r="B204" i="2"/>
  <c r="E208" i="2"/>
  <c r="E132" i="13"/>
  <c r="F132" i="13" s="1"/>
  <c r="D133" i="13" s="1"/>
  <c r="G132" i="13" l="1"/>
  <c r="D140" i="20"/>
  <c r="E140" i="20" s="1"/>
  <c r="F140" i="20" s="1"/>
  <c r="D141" i="20" s="1"/>
  <c r="B206" i="2"/>
  <c r="E209" i="2"/>
  <c r="E133" i="13"/>
  <c r="F133" i="13" s="1"/>
  <c r="D134" i="13" s="1"/>
  <c r="B207" i="2" l="1"/>
  <c r="B208" i="2" s="1"/>
  <c r="B209" i="2" s="1"/>
  <c r="B211" i="2" s="1"/>
  <c r="E134" i="13"/>
  <c r="F134" i="13" s="1"/>
  <c r="G133" i="13"/>
  <c r="E141" i="20"/>
  <c r="F141" i="20" s="1"/>
  <c r="C50" i="20" l="1"/>
  <c r="C50" i="13"/>
  <c r="B213" i="2"/>
  <c r="E37" i="2" s="1"/>
  <c r="E211" i="2"/>
  <c r="D142" i="20"/>
  <c r="D135" i="13"/>
  <c r="G134" i="13"/>
  <c r="B215" i="2" l="1"/>
  <c r="C49" i="13"/>
  <c r="C49" i="20"/>
  <c r="E206" i="2"/>
  <c r="E135" i="13"/>
  <c r="F135" i="13" s="1"/>
  <c r="E142" i="20"/>
  <c r="F142" i="20" s="1"/>
  <c r="D317" i="2" l="1"/>
  <c r="B217" i="2"/>
  <c r="D143" i="20"/>
  <c r="E143" i="20" s="1"/>
  <c r="D136" i="13"/>
  <c r="E136" i="13" s="1"/>
  <c r="F136" i="13" s="1"/>
  <c r="G135" i="13"/>
  <c r="F143" i="20" l="1"/>
  <c r="D144" i="20" s="1"/>
  <c r="E144" i="20" s="1"/>
  <c r="F144" i="20" s="1"/>
  <c r="B219" i="2"/>
  <c r="D219" i="2"/>
  <c r="D137" i="13"/>
  <c r="G136" i="13"/>
  <c r="B221" i="2" l="1"/>
  <c r="D222" i="2"/>
  <c r="D145" i="20"/>
  <c r="E137" i="13"/>
  <c r="F137" i="13" s="1"/>
  <c r="B234" i="2" l="1"/>
  <c r="E13" i="2"/>
  <c r="D138" i="13"/>
  <c r="G137" i="13"/>
  <c r="E145" i="20"/>
  <c r="F145" i="20" s="1"/>
  <c r="B235" i="2" l="1"/>
  <c r="B236" i="2" s="1"/>
  <c r="B237" i="2" s="1"/>
  <c r="D146" i="20"/>
  <c r="E146" i="20" s="1"/>
  <c r="E138" i="13"/>
  <c r="F138" i="13" s="1"/>
  <c r="E237" i="2" l="1"/>
  <c r="B239" i="2"/>
  <c r="B248" i="2" s="1"/>
  <c r="B249" i="2" s="1"/>
  <c r="E239" i="2"/>
  <c r="E68" i="2"/>
  <c r="D139" i="13"/>
  <c r="E139" i="13" s="1"/>
  <c r="F139" i="13" s="1"/>
  <c r="G138" i="13"/>
  <c r="F146" i="20"/>
  <c r="B250" i="2" l="1"/>
  <c r="B251" i="2" s="1"/>
  <c r="B253" i="2" s="1"/>
  <c r="B254" i="2" s="1"/>
  <c r="B255" i="2" s="1"/>
  <c r="B257" i="2" s="1"/>
  <c r="B260" i="2" s="1"/>
  <c r="B261" i="2" s="1"/>
  <c r="D147" i="20"/>
  <c r="E147" i="20" s="1"/>
  <c r="F147" i="20" s="1"/>
  <c r="D148" i="20" s="1"/>
  <c r="D140" i="13"/>
  <c r="G139" i="13"/>
  <c r="E255" i="2" l="1"/>
  <c r="B262" i="2"/>
  <c r="B263" i="2" s="1"/>
  <c r="B264" i="2" s="1"/>
  <c r="E148" i="20"/>
  <c r="F148" i="20" s="1"/>
  <c r="E140" i="13"/>
  <c r="F140" i="13" s="1"/>
  <c r="D149" i="20" l="1"/>
  <c r="E149" i="20" s="1"/>
  <c r="F149" i="20" s="1"/>
  <c r="B265" i="2"/>
  <c r="D141" i="13"/>
  <c r="G140" i="13"/>
  <c r="B266" i="2" l="1"/>
  <c r="B267" i="2" s="1"/>
  <c r="B268" i="2" s="1"/>
  <c r="D272" i="2"/>
  <c r="D150" i="20"/>
  <c r="E141" i="13"/>
  <c r="F141" i="13" s="1"/>
  <c r="E268" i="2" l="1"/>
  <c r="D273" i="2"/>
  <c r="B270" i="2"/>
  <c r="B271" i="2" s="1"/>
  <c r="D142" i="13"/>
  <c r="G141" i="13"/>
  <c r="E150" i="20"/>
  <c r="F150" i="20" s="1"/>
  <c r="D375" i="2" l="1"/>
  <c r="B272" i="2"/>
  <c r="B273" i="2" s="1"/>
  <c r="D274" i="2" s="1"/>
  <c r="D151" i="20"/>
  <c r="E142" i="13"/>
  <c r="C19" i="20" l="1"/>
  <c r="C19" i="13"/>
  <c r="C16" i="13"/>
  <c r="C16" i="20"/>
  <c r="B274" i="2"/>
  <c r="F142" i="13"/>
  <c r="D143" i="13" s="1"/>
  <c r="E151" i="20"/>
  <c r="F151" i="20" s="1"/>
  <c r="B276" i="2" l="1"/>
  <c r="B77" i="41"/>
  <c r="E213" i="2"/>
  <c r="D199" i="2"/>
  <c r="D152" i="20"/>
  <c r="E143" i="13"/>
  <c r="F143" i="13" s="1"/>
  <c r="D144" i="13" l="1"/>
  <c r="G143" i="13"/>
  <c r="E152" i="20"/>
  <c r="F152" i="20" s="1"/>
  <c r="D153" i="20" l="1"/>
  <c r="E144" i="13"/>
  <c r="F144" i="13" s="1"/>
  <c r="D145" i="13" l="1"/>
  <c r="G144" i="13"/>
  <c r="E153" i="20"/>
  <c r="F153" i="20" s="1"/>
  <c r="D154" i="20" l="1"/>
  <c r="E145" i="13"/>
  <c r="F145" i="13" s="1"/>
  <c r="D146" i="13" s="1"/>
  <c r="E146" i="13" l="1"/>
  <c r="F146" i="13" s="1"/>
  <c r="D147" i="13" s="1"/>
  <c r="G145" i="13"/>
  <c r="E154" i="20"/>
  <c r="F154" i="20" s="1"/>
  <c r="G146" i="13" l="1"/>
  <c r="D155" i="20"/>
  <c r="E147" i="13"/>
  <c r="F147" i="13" s="1"/>
  <c r="D148" i="13" l="1"/>
  <c r="G147" i="13"/>
  <c r="E155" i="20"/>
  <c r="F155" i="20" s="1"/>
  <c r="D156" i="20" l="1"/>
  <c r="E148" i="13"/>
  <c r="F148" i="13" s="1"/>
  <c r="D149" i="13" s="1"/>
  <c r="E149" i="13" l="1"/>
  <c r="F149" i="13" s="1"/>
  <c r="D150" i="13" s="1"/>
  <c r="G148" i="13"/>
  <c r="E156" i="20"/>
  <c r="F156" i="20" s="1"/>
  <c r="D157" i="20" l="1"/>
  <c r="E150" i="13"/>
  <c r="F150" i="13" s="1"/>
  <c r="G149" i="13"/>
  <c r="D151" i="13" l="1"/>
  <c r="G150" i="13"/>
  <c r="E157" i="20"/>
  <c r="F157" i="20" s="1"/>
  <c r="D158" i="20" s="1"/>
  <c r="E158" i="20" l="1"/>
  <c r="F158" i="20" s="1"/>
  <c r="E151" i="13"/>
  <c r="F151" i="13" s="1"/>
  <c r="D159" i="20" l="1"/>
  <c r="E159" i="20" s="1"/>
  <c r="F159" i="20" s="1"/>
  <c r="D152" i="13"/>
  <c r="E152" i="13" s="1"/>
  <c r="F152" i="13" s="1"/>
  <c r="G151" i="13"/>
  <c r="D153" i="13" l="1"/>
  <c r="G152" i="13"/>
  <c r="D160" i="20"/>
  <c r="E160" i="20" l="1"/>
  <c r="E161" i="20" s="1"/>
  <c r="E153" i="13"/>
  <c r="F153" i="13" s="1"/>
  <c r="D154" i="13" s="1"/>
  <c r="E154" i="13" l="1"/>
  <c r="F154" i="13" s="1"/>
  <c r="F160" i="20"/>
  <c r="G153" i="13"/>
  <c r="D155" i="13" l="1"/>
  <c r="G154" i="13"/>
  <c r="E155" i="13" l="1"/>
  <c r="F155" i="13" s="1"/>
  <c r="D156" i="13" l="1"/>
  <c r="G155" i="13"/>
  <c r="E156" i="13" l="1"/>
  <c r="F156" i="13" s="1"/>
  <c r="D157" i="13" l="1"/>
  <c r="G156" i="13"/>
  <c r="E157" i="13" l="1"/>
  <c r="F157" i="13" s="1"/>
  <c r="D158" i="13" s="1"/>
  <c r="G157" i="13" l="1"/>
  <c r="E158" i="13"/>
  <c r="F158" i="13" s="1"/>
  <c r="D159" i="13" l="1"/>
  <c r="G158" i="13"/>
  <c r="E159" i="13" l="1"/>
  <c r="F159" i="13" s="1"/>
  <c r="D160" i="13" l="1"/>
  <c r="G159" i="13"/>
  <c r="E160" i="13" l="1"/>
  <c r="F160" i="13" s="1"/>
  <c r="D161" i="13" l="1"/>
  <c r="G160" i="13"/>
  <c r="E161" i="13" l="1"/>
  <c r="E162" i="13" s="1"/>
  <c r="F161" i="13" l="1"/>
  <c r="G161" i="13" s="1"/>
  <c r="F73" i="41" l="1"/>
  <c r="C132" i="38" l="1"/>
  <c r="M143" i="38"/>
  <c r="M149" i="38" s="1"/>
  <c r="O143" i="38"/>
  <c r="O149" i="38" s="1"/>
  <c r="G35" i="5" l="1"/>
  <c r="E133" i="38"/>
  <c r="G33" i="5"/>
  <c r="G36" i="5" l="1"/>
  <c r="C133" i="38"/>
  <c r="E143" i="38"/>
  <c r="E149" i="38" s="1"/>
  <c r="C143" i="38" l="1"/>
  <c r="C149" i="38" s="1"/>
  <c r="G209" i="2" l="1"/>
  <c r="L209" i="2" l="1"/>
  <c r="F39" i="20" l="1"/>
  <c r="E39" i="13"/>
  <c r="L208" i="2" l="1"/>
  <c r="E38" i="13" l="1"/>
  <c r="F38" i="20"/>
  <c r="G208" i="2"/>
  <c r="G161" i="2" l="1"/>
  <c r="K45" i="48"/>
  <c r="D43" i="48" l="1"/>
  <c r="D47" i="48"/>
  <c r="F43" i="48"/>
  <c r="F47" i="48"/>
  <c r="C23" i="48" s="1"/>
  <c r="C22" i="48" l="1"/>
  <c r="G43" i="48" l="1"/>
  <c r="G159" i="2"/>
  <c r="G165" i="2" s="1"/>
  <c r="G47" i="48"/>
  <c r="L165" i="2" l="1"/>
  <c r="C24" i="48"/>
  <c r="G24" i="48" l="1"/>
  <c r="H43" i="48"/>
  <c r="H47" i="48"/>
  <c r="C25" i="48" l="1"/>
  <c r="I43" i="48" l="1"/>
  <c r="I47" i="48"/>
  <c r="C26" i="48" l="1"/>
  <c r="J43" i="48" l="1"/>
  <c r="K43" i="48" s="1"/>
  <c r="J47" i="48"/>
  <c r="C27" i="48" l="1"/>
  <c r="K47" i="48"/>
  <c r="C28" i="48" l="1"/>
  <c r="D27" i="48" l="1"/>
  <c r="E27" i="48" s="1"/>
  <c r="D23" i="48"/>
  <c r="E23" i="48" s="1"/>
  <c r="D22" i="48"/>
  <c r="E22" i="48" s="1"/>
  <c r="D24" i="48"/>
  <c r="E24" i="48" s="1"/>
  <c r="D25" i="48"/>
  <c r="E25" i="48" s="1"/>
  <c r="D26" i="48"/>
  <c r="E26" i="48" s="1"/>
  <c r="G171" i="2" l="1"/>
  <c r="H24" i="48"/>
  <c r="I24" i="48" s="1"/>
  <c r="L171" i="2" l="1"/>
  <c r="G172" i="2"/>
  <c r="G174" i="2" s="1"/>
  <c r="G176" i="2" s="1"/>
  <c r="D23" i="35" l="1"/>
  <c r="G67" i="2" s="1"/>
  <c r="L67" i="2" s="1"/>
  <c r="C23" i="35"/>
  <c r="G66" i="2" s="1"/>
  <c r="G77" i="2" l="1"/>
  <c r="L66" i="2"/>
  <c r="L77" i="2" s="1"/>
  <c r="G94" i="2"/>
  <c r="G100" i="2" s="1"/>
  <c r="E48" i="11" l="1"/>
  <c r="L94" i="2"/>
  <c r="L100" i="2" s="1"/>
  <c r="J77" i="2"/>
  <c r="J100" i="2" l="1"/>
  <c r="J122" i="2"/>
  <c r="L122" i="2" s="1"/>
  <c r="H57" i="30"/>
  <c r="I57" i="30" s="1"/>
  <c r="I56" i="30" s="1"/>
  <c r="J193" i="2"/>
  <c r="L193" i="2" s="1"/>
  <c r="J167" i="2"/>
  <c r="L167" i="2" s="1"/>
  <c r="L172" i="2" s="1"/>
  <c r="L174" i="2" s="1"/>
  <c r="L176" i="2" s="1"/>
  <c r="J124" i="2"/>
  <c r="L124" i="2" s="1"/>
  <c r="J207" i="2"/>
  <c r="L207" i="2" s="1"/>
  <c r="E51" i="11"/>
  <c r="E62" i="11"/>
  <c r="M48" i="11"/>
  <c r="E64" i="11" l="1"/>
  <c r="M62" i="11"/>
  <c r="F37" i="20"/>
  <c r="E37" i="13"/>
  <c r="E53" i="11"/>
  <c r="M51" i="11"/>
  <c r="E72" i="11"/>
  <c r="L127" i="2"/>
  <c r="E55" i="11" l="1"/>
  <c r="M53" i="11"/>
  <c r="E74" i="11"/>
  <c r="M72" i="11"/>
  <c r="E66" i="11"/>
  <c r="E69" i="11" s="1"/>
  <c r="M64" i="11"/>
  <c r="M69" i="11" l="1"/>
  <c r="E70" i="11" s="1"/>
  <c r="E76" i="11"/>
  <c r="M74" i="11"/>
  <c r="I56" i="11"/>
  <c r="I57" i="11" s="1"/>
  <c r="I58" i="11" s="1"/>
  <c r="E56" i="11"/>
  <c r="E57" i="11" s="1"/>
  <c r="E58" i="11" s="1"/>
  <c r="G56" i="11"/>
  <c r="G57" i="11" s="1"/>
  <c r="G58" i="11" s="1"/>
  <c r="M58" i="11" l="1"/>
  <c r="E59" i="11" s="1"/>
  <c r="M57" i="11"/>
  <c r="G77" i="11"/>
  <c r="G78" i="11" s="1"/>
  <c r="G79" i="11" s="1"/>
  <c r="I77" i="11"/>
  <c r="I78" i="11" s="1"/>
  <c r="I79" i="11" s="1"/>
  <c r="E77" i="11"/>
  <c r="E78" i="11" s="1"/>
  <c r="E79" i="11" s="1"/>
  <c r="I70" i="11"/>
  <c r="G70" i="11"/>
  <c r="G59" i="11" l="1"/>
  <c r="I59" i="11"/>
  <c r="M79" i="11"/>
  <c r="I80" i="11" s="1"/>
  <c r="I36" i="30" l="1"/>
  <c r="H33" i="30"/>
  <c r="I33" i="30" s="1"/>
  <c r="I31" i="30"/>
  <c r="G80" i="11"/>
  <c r="E80" i="11"/>
  <c r="I29" i="30" l="1"/>
  <c r="I41" i="30"/>
  <c r="H42" i="30"/>
  <c r="I42" i="30" s="1"/>
  <c r="I39" i="30" l="1"/>
  <c r="I27" i="30" s="1"/>
  <c r="L191" i="2" s="1"/>
  <c r="L194" i="2" s="1"/>
  <c r="S143" i="38"/>
  <c r="S149" i="38" s="1"/>
  <c r="K132" i="38"/>
  <c r="K143" i="38" s="1"/>
  <c r="K149" i="38" s="1"/>
  <c r="Q149" i="38"/>
  <c r="D132" i="38"/>
  <c r="I132" i="38"/>
  <c r="I143" i="38" s="1"/>
  <c r="I149" i="38" s="1"/>
  <c r="E35" i="5" l="1"/>
  <c r="I35" i="5" s="1"/>
  <c r="F133" i="38"/>
  <c r="E33" i="5"/>
  <c r="G132" i="38"/>
  <c r="E36" i="5" l="1"/>
  <c r="I33" i="5"/>
  <c r="F143" i="38"/>
  <c r="F149" i="38" s="1"/>
  <c r="D133" i="38"/>
  <c r="G133" i="38" l="1"/>
  <c r="G143" i="38" s="1"/>
  <c r="G149" i="38" s="1"/>
  <c r="D143" i="38"/>
  <c r="D149" i="38" s="1"/>
  <c r="G106" i="2"/>
  <c r="I36" i="5"/>
  <c r="L106" i="2" s="1"/>
  <c r="I48" i="38" l="1"/>
  <c r="I56" i="38" s="1"/>
  <c r="Q56" i="38" l="1"/>
  <c r="D48" i="38"/>
  <c r="K48" i="38"/>
  <c r="K56" i="38" s="1"/>
  <c r="S56" i="38"/>
  <c r="E25" i="5" l="1"/>
  <c r="I25" i="5" s="1"/>
  <c r="G48" i="38"/>
  <c r="F49" i="38"/>
  <c r="F56" i="38" s="1"/>
  <c r="E27" i="5"/>
  <c r="I27" i="5" s="1"/>
  <c r="D49" i="38" l="1"/>
  <c r="G49" i="38" s="1"/>
  <c r="G56" i="38" s="1"/>
  <c r="E28" i="5"/>
  <c r="I28" i="5"/>
  <c r="L105" i="2" s="1"/>
  <c r="G105" i="2"/>
  <c r="D56" i="38" l="1"/>
  <c r="I80" i="39"/>
  <c r="I93" i="39" s="1"/>
  <c r="R93" i="39"/>
  <c r="J80" i="39"/>
  <c r="J93" i="39" s="1"/>
  <c r="Q93" i="39" l="1"/>
  <c r="D80" i="39"/>
  <c r="G80" i="39" s="1"/>
  <c r="S93" i="39"/>
  <c r="K80" i="39"/>
  <c r="K93" i="39" s="1"/>
  <c r="F81" i="39" l="1"/>
  <c r="D81" i="39" s="1"/>
  <c r="E43" i="5"/>
  <c r="I43" i="5" s="1"/>
  <c r="E41" i="5"/>
  <c r="I41" i="5" s="1"/>
  <c r="G107" i="2" s="1"/>
  <c r="G109" i="2" s="1"/>
  <c r="G131" i="2" s="1"/>
  <c r="F93" i="39" l="1"/>
  <c r="I44" i="5"/>
  <c r="L107" i="2" s="1"/>
  <c r="L109" i="2" s="1"/>
  <c r="L131" i="2" s="1"/>
  <c r="E28" i="13" s="1"/>
  <c r="E44" i="5"/>
  <c r="G81" i="39"/>
  <c r="G93" i="39" s="1"/>
  <c r="D93" i="39"/>
  <c r="F28" i="20" l="1"/>
  <c r="G22" i="41" l="1"/>
  <c r="G21" i="41"/>
  <c r="G20" i="41"/>
  <c r="G19" i="41"/>
  <c r="G18" i="41"/>
  <c r="G17" i="41"/>
  <c r="G16" i="41"/>
  <c r="G15" i="41"/>
  <c r="G14" i="41"/>
  <c r="G13" i="41"/>
  <c r="G12" i="41"/>
  <c r="G11" i="41"/>
  <c r="C23" i="41" l="1"/>
  <c r="L264" i="2" s="1"/>
  <c r="L268" i="2" s="1"/>
  <c r="G273" i="2" s="1"/>
  <c r="G274" i="2" s="1"/>
  <c r="G10" i="41"/>
  <c r="G23" i="41" s="1"/>
  <c r="H273" i="2" l="1"/>
  <c r="H271" i="2"/>
  <c r="E77" i="41"/>
  <c r="E79" i="41" s="1"/>
  <c r="E80" i="41" s="1"/>
  <c r="E51" i="41" s="1"/>
  <c r="E56" i="41" s="1"/>
  <c r="H272" i="2"/>
  <c r="E58" i="41" l="1"/>
  <c r="J271" i="2" s="1"/>
  <c r="L261" i="2"/>
  <c r="I273" i="2"/>
  <c r="L273" i="2" s="1"/>
  <c r="D23" i="20"/>
  <c r="F23" i="20" s="1"/>
  <c r="D23" i="13"/>
  <c r="F23" i="13" s="1"/>
  <c r="I271" i="2"/>
  <c r="D22" i="13"/>
  <c r="F22" i="13" s="1"/>
  <c r="D22" i="20"/>
  <c r="F22" i="20" s="1"/>
  <c r="I272" i="2"/>
  <c r="L272" i="2" s="1"/>
  <c r="D21" i="20"/>
  <c r="D21" i="13"/>
  <c r="L271" i="2" l="1"/>
  <c r="L274" i="2" s="1"/>
  <c r="G198" i="2" s="1"/>
  <c r="E21" i="13"/>
  <c r="F21" i="13" s="1"/>
  <c r="F24" i="13" s="1"/>
  <c r="E29" i="13" s="1"/>
  <c r="E30" i="13" s="1"/>
  <c r="E21" i="20"/>
  <c r="F21" i="20" s="1"/>
  <c r="F24" i="20" s="1"/>
  <c r="F29" i="20" s="1"/>
  <c r="F30" i="20" s="1"/>
  <c r="F34" i="20" l="1"/>
  <c r="G56" i="20"/>
  <c r="E34" i="13"/>
  <c r="F56" i="13"/>
  <c r="G219" i="2"/>
  <c r="L219" i="2"/>
  <c r="F35" i="20"/>
  <c r="E35" i="13"/>
  <c r="G213" i="2"/>
  <c r="G206" i="2" s="1"/>
  <c r="G211" i="2" s="1"/>
  <c r="L213" i="2"/>
  <c r="G221" i="2" l="1"/>
  <c r="F49" i="13"/>
  <c r="L206" i="2"/>
  <c r="L211" i="2" s="1"/>
  <c r="G49" i="20"/>
  <c r="E36" i="13"/>
  <c r="E40" i="13" s="1"/>
  <c r="F57" i="13" s="1"/>
  <c r="F36" i="20"/>
  <c r="F40" i="20" s="1"/>
  <c r="G57" i="20" s="1"/>
  <c r="L221" i="2" l="1"/>
  <c r="L13" i="2" s="1"/>
  <c r="F50" i="13"/>
  <c r="G50" i="20"/>
  <c r="L30" i="2" l="1"/>
  <c r="L31" i="2" s="1"/>
  <c r="L20" i="2"/>
  <c r="L37" i="2"/>
  <c r="L34" i="2"/>
  <c r="G47" i="20"/>
  <c r="G51" i="20" s="1"/>
  <c r="G55" i="20" s="1"/>
  <c r="G58" i="20" s="1"/>
  <c r="F47" i="13"/>
  <c r="F51" i="13" s="1"/>
  <c r="F55" i="13" s="1"/>
  <c r="F58" i="13" s="1"/>
  <c r="F70" i="13" l="1"/>
  <c r="J97" i="13" s="1"/>
  <c r="G70" i="20"/>
  <c r="I96" i="20" s="1"/>
  <c r="G60" i="20"/>
  <c r="G68" i="20" s="1"/>
  <c r="G69" i="20" s="1"/>
  <c r="G65" i="20"/>
  <c r="G66" i="20" s="1"/>
  <c r="F65" i="13"/>
  <c r="F66" i="13" s="1"/>
  <c r="F60" i="13"/>
  <c r="F68" i="13" s="1"/>
  <c r="F69" i="13" s="1"/>
  <c r="G71" i="20" l="1"/>
  <c r="F71" i="13"/>
  <c r="G102" i="20"/>
  <c r="G114" i="20"/>
  <c r="G132" i="20"/>
  <c r="G140" i="20"/>
  <c r="G133" i="20"/>
  <c r="G152" i="20"/>
  <c r="G144" i="20"/>
  <c r="G151" i="20"/>
  <c r="G121" i="20"/>
  <c r="G124" i="20"/>
  <c r="G130" i="20"/>
  <c r="G138" i="20"/>
  <c r="G135" i="20"/>
  <c r="G136" i="20"/>
  <c r="G107" i="20"/>
  <c r="G148" i="20"/>
  <c r="G125" i="20"/>
  <c r="G153" i="20"/>
  <c r="G117" i="20"/>
  <c r="G139" i="20"/>
  <c r="G155" i="20"/>
  <c r="G120" i="20"/>
  <c r="G157" i="20"/>
  <c r="G108" i="20"/>
  <c r="G149" i="20"/>
  <c r="G109" i="20"/>
  <c r="G123" i="20"/>
  <c r="G147" i="20"/>
  <c r="G104" i="20"/>
  <c r="G106" i="20"/>
  <c r="G137" i="20"/>
  <c r="G103" i="20"/>
  <c r="G150" i="20"/>
  <c r="G160" i="20"/>
  <c r="G129" i="20"/>
  <c r="G111" i="20"/>
  <c r="G122" i="20"/>
  <c r="G128" i="20"/>
  <c r="G119" i="20"/>
  <c r="G154" i="20"/>
  <c r="G127" i="20"/>
  <c r="G113" i="20"/>
  <c r="I97" i="20"/>
  <c r="G101" i="20"/>
  <c r="G158" i="20"/>
  <c r="G146" i="20"/>
  <c r="G141" i="20"/>
  <c r="G126" i="20"/>
  <c r="G105" i="20"/>
  <c r="G134" i="20"/>
  <c r="G145" i="20"/>
  <c r="G131" i="20"/>
  <c r="G118" i="20"/>
  <c r="G116" i="20"/>
  <c r="G143" i="20"/>
  <c r="G112" i="20"/>
  <c r="G110" i="20"/>
  <c r="G156" i="20"/>
  <c r="G159" i="20"/>
  <c r="G115" i="20"/>
  <c r="H113" i="13"/>
  <c r="H137" i="13"/>
  <c r="H161" i="13"/>
  <c r="M91" i="13" s="1"/>
  <c r="H126" i="13"/>
  <c r="H143" i="13"/>
  <c r="H108" i="13"/>
  <c r="H105" i="13"/>
  <c r="H109" i="13"/>
  <c r="H142" i="13"/>
  <c r="H131" i="13"/>
  <c r="H134" i="13"/>
  <c r="H158" i="13"/>
  <c r="H156" i="13"/>
  <c r="J98" i="13"/>
  <c r="H123" i="13"/>
  <c r="H150" i="13"/>
  <c r="H125" i="13"/>
  <c r="H140" i="13"/>
  <c r="H155" i="13"/>
  <c r="H144" i="13"/>
  <c r="H153" i="13"/>
  <c r="H159" i="13"/>
  <c r="H138" i="13"/>
  <c r="H152" i="13"/>
  <c r="H145" i="13"/>
  <c r="H147" i="13"/>
  <c r="H136" i="13"/>
  <c r="H122" i="13"/>
  <c r="H135" i="13"/>
  <c r="H149" i="13"/>
  <c r="H124" i="13"/>
  <c r="H133" i="13"/>
  <c r="H102" i="13"/>
  <c r="H115" i="13"/>
  <c r="H120" i="13"/>
  <c r="H127" i="13"/>
  <c r="H118" i="13"/>
  <c r="H129" i="13"/>
  <c r="H132" i="13"/>
  <c r="H141" i="13"/>
  <c r="H107" i="13"/>
  <c r="H154" i="13"/>
  <c r="H110" i="13"/>
  <c r="H151" i="13"/>
  <c r="H119" i="13"/>
  <c r="H146" i="13"/>
  <c r="H114" i="13"/>
  <c r="H116" i="13"/>
  <c r="H157" i="13"/>
  <c r="H148" i="13"/>
  <c r="H111" i="13"/>
  <c r="H130" i="13"/>
  <c r="H121" i="13"/>
  <c r="H139" i="13"/>
  <c r="H103" i="13"/>
  <c r="H106" i="13"/>
  <c r="H112" i="13"/>
  <c r="H128" i="13"/>
  <c r="H160" i="13"/>
  <c r="H117" i="13"/>
  <c r="H104" i="13"/>
  <c r="H162" i="13" l="1"/>
  <c r="M92" i="13"/>
  <c r="N22" i="13"/>
  <c r="N23" i="13" s="1"/>
  <c r="I105" i="13"/>
  <c r="J105" i="13" s="1"/>
  <c r="I146" i="13"/>
  <c r="J146" i="13" s="1"/>
  <c r="I157" i="13"/>
  <c r="J157" i="13" s="1"/>
  <c r="I136" i="13"/>
  <c r="J136" i="13" s="1"/>
  <c r="I130" i="13"/>
  <c r="J130" i="13" s="1"/>
  <c r="I131" i="13"/>
  <c r="J131" i="13" s="1"/>
  <c r="I123" i="13"/>
  <c r="J123" i="13" s="1"/>
  <c r="I137" i="13"/>
  <c r="J137" i="13" s="1"/>
  <c r="I158" i="13"/>
  <c r="J158" i="13" s="1"/>
  <c r="I149" i="13"/>
  <c r="J149" i="13" s="1"/>
  <c r="I121" i="13"/>
  <c r="J121" i="13" s="1"/>
  <c r="I139" i="13"/>
  <c r="J139" i="13" s="1"/>
  <c r="I115" i="13"/>
  <c r="J115" i="13" s="1"/>
  <c r="I116" i="13"/>
  <c r="J116" i="13" s="1"/>
  <c r="I113" i="13"/>
  <c r="J113" i="13" s="1"/>
  <c r="I117" i="13"/>
  <c r="J117" i="13" s="1"/>
  <c r="I160" i="13"/>
  <c r="J160" i="13" s="1"/>
  <c r="I107" i="13"/>
  <c r="J107" i="13" s="1"/>
  <c r="I134" i="13"/>
  <c r="J134" i="13" s="1"/>
  <c r="I142" i="13"/>
  <c r="J142" i="13" s="1"/>
  <c r="I108" i="13"/>
  <c r="J108" i="13" s="1"/>
  <c r="I135" i="13"/>
  <c r="J135" i="13" s="1"/>
  <c r="I129" i="13"/>
  <c r="J129" i="13" s="1"/>
  <c r="I127" i="13"/>
  <c r="J127" i="13" s="1"/>
  <c r="I102" i="13"/>
  <c r="I152" i="13"/>
  <c r="J152" i="13" s="1"/>
  <c r="I147" i="13"/>
  <c r="J147" i="13" s="1"/>
  <c r="I161" i="13"/>
  <c r="I109" i="13"/>
  <c r="J109" i="13" s="1"/>
  <c r="I119" i="13"/>
  <c r="J119" i="13" s="1"/>
  <c r="I145" i="13"/>
  <c r="J145" i="13" s="1"/>
  <c r="I112" i="13"/>
  <c r="J112" i="13" s="1"/>
  <c r="I133" i="13"/>
  <c r="J133" i="13" s="1"/>
  <c r="I110" i="13"/>
  <c r="J110" i="13" s="1"/>
  <c r="I106" i="13"/>
  <c r="J106" i="13" s="1"/>
  <c r="I151" i="13"/>
  <c r="J151" i="13" s="1"/>
  <c r="I128" i="13"/>
  <c r="J128" i="13" s="1"/>
  <c r="I143" i="13"/>
  <c r="J143" i="13" s="1"/>
  <c r="I138" i="13"/>
  <c r="J138" i="13" s="1"/>
  <c r="I120" i="13"/>
  <c r="J120" i="13" s="1"/>
  <c r="I104" i="13"/>
  <c r="J104" i="13" s="1"/>
  <c r="I150" i="13"/>
  <c r="J150" i="13" s="1"/>
  <c r="I153" i="13"/>
  <c r="J153" i="13" s="1"/>
  <c r="I155" i="13"/>
  <c r="J155" i="13" s="1"/>
  <c r="I103" i="13"/>
  <c r="J103" i="13" s="1"/>
  <c r="I141" i="13"/>
  <c r="J141" i="13" s="1"/>
  <c r="I140" i="13"/>
  <c r="J140" i="13" s="1"/>
  <c r="I111" i="13"/>
  <c r="J111" i="13" s="1"/>
  <c r="I122" i="13"/>
  <c r="J122" i="13" s="1"/>
  <c r="I156" i="13"/>
  <c r="J156" i="13" s="1"/>
  <c r="I132" i="13"/>
  <c r="J132" i="13" s="1"/>
  <c r="I114" i="13"/>
  <c r="J114" i="13" s="1"/>
  <c r="I124" i="13"/>
  <c r="J124" i="13" s="1"/>
  <c r="I154" i="13"/>
  <c r="J154" i="13" s="1"/>
  <c r="I126" i="13"/>
  <c r="J126" i="13" s="1"/>
  <c r="I148" i="13"/>
  <c r="J148" i="13" s="1"/>
  <c r="I125" i="13"/>
  <c r="J125" i="13" s="1"/>
  <c r="I118" i="13"/>
  <c r="J118" i="13" s="1"/>
  <c r="I159" i="13"/>
  <c r="J159" i="13" s="1"/>
  <c r="I144" i="13"/>
  <c r="J144" i="13" s="1"/>
  <c r="G161" i="20"/>
  <c r="H129" i="20"/>
  <c r="I129" i="20" s="1"/>
  <c r="H119" i="20"/>
  <c r="I119" i="20" s="1"/>
  <c r="H103" i="20"/>
  <c r="I103" i="20" s="1"/>
  <c r="H107" i="20"/>
  <c r="I107" i="20" s="1"/>
  <c r="H122" i="20"/>
  <c r="I122" i="20" s="1"/>
  <c r="H157" i="20"/>
  <c r="I157" i="20" s="1"/>
  <c r="H147" i="20"/>
  <c r="I147" i="20" s="1"/>
  <c r="H106" i="20"/>
  <c r="I106" i="20" s="1"/>
  <c r="H115" i="20"/>
  <c r="I115" i="20" s="1"/>
  <c r="H136" i="20"/>
  <c r="I136" i="20" s="1"/>
  <c r="H125" i="20"/>
  <c r="I125" i="20" s="1"/>
  <c r="H109" i="20"/>
  <c r="I109" i="20" s="1"/>
  <c r="H117" i="20"/>
  <c r="I117" i="20" s="1"/>
  <c r="H124" i="20"/>
  <c r="I124" i="20" s="1"/>
  <c r="H146" i="20"/>
  <c r="I146" i="20" s="1"/>
  <c r="H118" i="20"/>
  <c r="I118" i="20" s="1"/>
  <c r="H156" i="20"/>
  <c r="I156" i="20" s="1"/>
  <c r="H116" i="20"/>
  <c r="I116" i="20" s="1"/>
  <c r="H110" i="20"/>
  <c r="I110" i="20" s="1"/>
  <c r="H139" i="20"/>
  <c r="I139" i="20" s="1"/>
  <c r="H128" i="20"/>
  <c r="I128" i="20" s="1"/>
  <c r="H102" i="20"/>
  <c r="I102" i="20" s="1"/>
  <c r="H130" i="20"/>
  <c r="I130" i="20" s="1"/>
  <c r="H135" i="20"/>
  <c r="I135" i="20" s="1"/>
  <c r="H150" i="20"/>
  <c r="I150" i="20" s="1"/>
  <c r="H148" i="20"/>
  <c r="I148" i="20" s="1"/>
  <c r="H159" i="20"/>
  <c r="I159" i="20" s="1"/>
  <c r="H132" i="20"/>
  <c r="I132" i="20" s="1"/>
  <c r="H149" i="20"/>
  <c r="I149" i="20" s="1"/>
  <c r="H142" i="20"/>
  <c r="I142" i="20" s="1"/>
  <c r="H123" i="20"/>
  <c r="I123" i="20" s="1"/>
  <c r="H111" i="20"/>
  <c r="I111" i="20" s="1"/>
  <c r="H101" i="20"/>
  <c r="H120" i="20"/>
  <c r="I120" i="20" s="1"/>
  <c r="H126" i="20"/>
  <c r="I126" i="20" s="1"/>
  <c r="H153" i="20"/>
  <c r="I153" i="20" s="1"/>
  <c r="H145" i="20"/>
  <c r="I145" i="20" s="1"/>
  <c r="H133" i="20"/>
  <c r="I133" i="20" s="1"/>
  <c r="H114" i="20"/>
  <c r="I114" i="20" s="1"/>
  <c r="H104" i="20"/>
  <c r="I104" i="20" s="1"/>
  <c r="H152" i="20"/>
  <c r="I152" i="20" s="1"/>
  <c r="H138" i="20"/>
  <c r="I138" i="20" s="1"/>
  <c r="H143" i="20"/>
  <c r="I143" i="20" s="1"/>
  <c r="H113" i="20"/>
  <c r="I113" i="20" s="1"/>
  <c r="H137" i="20"/>
  <c r="I137" i="20" s="1"/>
  <c r="H127" i="20"/>
  <c r="I127" i="20" s="1"/>
  <c r="H158" i="20"/>
  <c r="I158" i="20" s="1"/>
  <c r="H154" i="20"/>
  <c r="I154" i="20" s="1"/>
  <c r="H140" i="20"/>
  <c r="I140" i="20" s="1"/>
  <c r="H144" i="20"/>
  <c r="I144" i="20" s="1"/>
  <c r="H134" i="20"/>
  <c r="I134" i="20" s="1"/>
  <c r="H141" i="20"/>
  <c r="I141" i="20" s="1"/>
  <c r="H131" i="20"/>
  <c r="I131" i="20" s="1"/>
  <c r="H108" i="20"/>
  <c r="I108" i="20" s="1"/>
  <c r="H155" i="20"/>
  <c r="I155" i="20" s="1"/>
  <c r="H160" i="20"/>
  <c r="I160" i="20" s="1"/>
  <c r="H121" i="20"/>
  <c r="I121" i="20" s="1"/>
  <c r="H105" i="20"/>
  <c r="I105" i="20" s="1"/>
  <c r="H112" i="20"/>
  <c r="I112" i="20" s="1"/>
  <c r="H151" i="20"/>
  <c r="I151" i="20" s="1"/>
  <c r="N91" i="13" l="1"/>
  <c r="J161" i="13"/>
  <c r="I162" i="13"/>
  <c r="J102" i="13"/>
  <c r="I101" i="20"/>
  <c r="I161" i="20" s="1"/>
  <c r="H161" i="20"/>
  <c r="J162" i="13" l="1"/>
  <c r="O22" i="13"/>
  <c r="N92" i="13"/>
  <c r="O91" i="13"/>
  <c r="O92" i="13" s="1"/>
  <c r="O23" i="13" l="1"/>
  <c r="P22" i="13"/>
  <c r="P23" i="13" s="1"/>
  <c r="L39" i="2" s="1"/>
  <c r="G25" i="48" l="1"/>
  <c r="H25" i="48"/>
  <c r="I25" i="48" l="1"/>
  <c r="H27" i="48" l="1"/>
  <c r="G27" i="48"/>
  <c r="I27" i="48" s="1"/>
  <c r="H23" i="48" l="1"/>
  <c r="G23" i="48"/>
  <c r="I23" i="48" l="1"/>
  <c r="G22" i="48" l="1"/>
  <c r="H22" i="48"/>
  <c r="I22" i="48" l="1"/>
  <c r="G26" i="48" l="1"/>
  <c r="G28" i="48" s="1"/>
  <c r="H26" i="48"/>
  <c r="I26" i="48" l="1"/>
  <c r="I28" i="48" s="1"/>
  <c r="H28" i="48"/>
</calcChain>
</file>

<file path=xl/sharedStrings.xml><?xml version="1.0" encoding="utf-8"?>
<sst xmlns="http://schemas.openxmlformats.org/spreadsheetml/2006/main" count="2514" uniqueCount="1411">
  <si>
    <t>CALCULATION OF RECOVERABLE HEDGE GAINS/LOSSES</t>
  </si>
  <si>
    <t>Net Includable Hedge Amount</t>
  </si>
  <si>
    <t>Source of Data</t>
  </si>
  <si>
    <t>Plant Held For Future Use</t>
  </si>
  <si>
    <t>( C )</t>
  </si>
  <si>
    <t>General Notes:  a)  References to data from Worksheets are indicated as:  Worksheet X, Line#.Column.X</t>
  </si>
  <si>
    <t>Average Balance of Common Equity</t>
  </si>
  <si>
    <t>Development of Cost of  Long Term Debt Based on Average Outstanding Balance</t>
  </si>
  <si>
    <t>Total Hedge Amortization</t>
  </si>
  <si>
    <t>Development of Cost of Preferred Stock</t>
  </si>
  <si>
    <t>321.80.b</t>
  </si>
  <si>
    <t>322.156.b</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</si>
  <si>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</si>
  <si>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</si>
  <si>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</si>
  <si>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</si>
  <si>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</si>
  <si>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</si>
  <si>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</si>
  <si>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</si>
  <si>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</si>
  <si>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</si>
  <si>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</si>
  <si>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</si>
  <si>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</si>
  <si>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</si>
  <si>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TP1</t>
  </si>
  <si>
    <t>TP1=</t>
  </si>
  <si>
    <t>Non-</t>
  </si>
  <si>
    <t xml:space="preserve"> The rates for each AEP company have been approved by their respective regulatory commissions.  </t>
  </si>
  <si>
    <t>Annual Tax Expenses by Type (Note 1)</t>
  </si>
  <si>
    <t>SFAS 158 Offset</t>
  </si>
  <si>
    <t xml:space="preserve">IPP CONTRIBUTIONS FOR CONSTRUCTION  </t>
  </si>
  <si>
    <t>TAXES OTHER THAN INCOME</t>
  </si>
  <si>
    <t>TOTAL OTHER TAXES</t>
  </si>
  <si>
    <t xml:space="preserve">The Long Term Debt balance for I&amp;M includes the accumulated balance of principle and related interest for Spent Nuclear Fuel Disposal Costs collected prior to April 7, 1983. </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</si>
  <si>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</si>
  <si>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</si>
  <si>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</si>
  <si>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</si>
  <si>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</si>
  <si>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</si>
  <si>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</si>
  <si>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</si>
  <si>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</si>
  <si>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</si>
  <si>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</si>
  <si>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</si>
  <si>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</si>
  <si>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</si>
  <si>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Detail of Account 561 Per FERC Form 1</t>
  </si>
  <si>
    <t>FF1 p 321.85.b</t>
  </si>
  <si>
    <t>561.1 - Load Dispatch - Reliability</t>
  </si>
  <si>
    <t>FF1 p 321.86.b</t>
  </si>
  <si>
    <t>561.2 - Load Dispatch - Monitor &amp; Operate Trans System</t>
  </si>
  <si>
    <t>FF1 p 321.87.b</t>
  </si>
  <si>
    <t>561.3 - Load Dispatch - Trans Service &amp; Scheduling</t>
  </si>
  <si>
    <t>FF1 p 321.88.b</t>
  </si>
  <si>
    <t>561.4 - Scheduling, System Control &amp; Dispatch</t>
  </si>
  <si>
    <t>FF1 p 321.89.b</t>
  </si>
  <si>
    <t>561.5 -  Reliability, Planning and Standards Development</t>
  </si>
  <si>
    <t>FF1 p 321.90.b</t>
  </si>
  <si>
    <t>561.6 - Transmission Service Studies</t>
  </si>
  <si>
    <t>FF1 p 321.91.b</t>
  </si>
  <si>
    <t>561.7 - Generation Interconnection Studies</t>
  </si>
  <si>
    <t>FF1 p 321.92.b</t>
  </si>
  <si>
    <t>561.8 -  Reliability, Planning and Standards Development Services</t>
  </si>
  <si>
    <t>Total of Account 561</t>
  </si>
  <si>
    <t>Company Records - Note 1</t>
  </si>
  <si>
    <t>NOTE 1</t>
  </si>
  <si>
    <t xml:space="preserve">NOTE 2 </t>
  </si>
  <si>
    <t xml:space="preserve">ADIT balances should exclude balances related to hedging activity. </t>
  </si>
  <si>
    <t>Interest Accrual (Company Records - Note 1)</t>
  </si>
  <si>
    <t>Revenue Credits to Generators (Company Records - Note 1)</t>
  </si>
  <si>
    <t>Accounting Adjustment  (Company Records - Note 1)</t>
  </si>
  <si>
    <t>Subtotal - Other Operating Revenues (Company Total equals (FF1 p. 300.26.(b))</t>
  </si>
  <si>
    <t>Apportionment Factors are determined as part of the Company's annual tax return for that jurisdiction.</t>
  </si>
  <si>
    <t>FERC FORM 1</t>
  </si>
  <si>
    <t>Tie-Back</t>
  </si>
  <si>
    <t>FERC FORM 1 Reference</t>
  </si>
  <si>
    <t xml:space="preserve">NOTE 1: The detail of each total company number and its source in the FERC Form 1 is shown on WS H-1. </t>
  </si>
  <si>
    <t>FERC</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</si>
  <si>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</si>
  <si>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</si>
  <si>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</si>
  <si>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</si>
  <si>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</si>
  <si>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</si>
  <si>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</si>
  <si>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</si>
  <si>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</si>
  <si>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</si>
  <si>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</si>
  <si>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</si>
  <si>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</si>
  <si>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</si>
  <si>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</si>
  <si>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</si>
  <si>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</si>
  <si>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</si>
  <si>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</si>
  <si>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</si>
  <si>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</si>
  <si>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</si>
  <si>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</si>
  <si>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</si>
  <si>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</si>
  <si>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</si>
  <si>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Michigan Single Business Tax</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</si>
  <si>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</si>
  <si>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</si>
  <si>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</si>
  <si>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</si>
  <si>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</si>
  <si>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</si>
  <si>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</si>
  <si>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</si>
  <si>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</si>
  <si>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</si>
  <si>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</si>
  <si>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</si>
  <si>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</si>
  <si>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</si>
  <si>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</si>
  <si>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</si>
  <si>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</si>
  <si>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</si>
  <si>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</si>
  <si>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</si>
  <si>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</si>
  <si>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</si>
  <si>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</si>
  <si>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</si>
  <si>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</si>
  <si>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</si>
  <si>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</si>
  <si>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</si>
  <si>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</si>
  <si>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</si>
  <si>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</si>
  <si>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</si>
  <si>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</si>
  <si>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</si>
  <si>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</si>
  <si>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</si>
  <si>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</si>
  <si>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</si>
  <si>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</si>
  <si>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</si>
  <si>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</si>
  <si>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</si>
  <si>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</si>
  <si>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</si>
  <si>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</si>
  <si>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</si>
  <si>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</si>
  <si>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</si>
  <si>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</si>
  <si>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</si>
  <si>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</si>
  <si>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</si>
  <si>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</si>
  <si>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</si>
  <si>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</si>
  <si>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</si>
  <si>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</si>
  <si>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</si>
  <si>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</si>
  <si>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</si>
  <si>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</si>
  <si>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</si>
  <si>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</si>
  <si>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</si>
  <si>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</si>
  <si>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</si>
  <si>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</si>
  <si>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</si>
  <si>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</si>
  <si>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</si>
  <si>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</si>
  <si>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</si>
  <si>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</si>
  <si>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</si>
  <si>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</si>
  <si>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</si>
  <si>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</si>
  <si>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</si>
  <si>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</si>
  <si>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</si>
  <si>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</si>
  <si>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</si>
  <si>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</si>
  <si>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</si>
  <si>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</si>
  <si>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</si>
  <si>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</si>
  <si>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</si>
  <si>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</si>
  <si>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</si>
  <si>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</si>
  <si>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</si>
  <si>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</si>
  <si>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</si>
  <si>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</si>
  <si>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</si>
  <si>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</si>
  <si>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</si>
  <si>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</si>
  <si>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</si>
  <si>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</si>
  <si>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</si>
  <si>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</si>
  <si>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</si>
  <si>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</si>
  <si>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</si>
  <si>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</si>
  <si>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</si>
  <si>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</si>
  <si>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</si>
  <si>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 xml:space="preserve"> Worksheet H-1 Form 1 Source Reference of Company Amounts on WS H</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</si>
  <si>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</si>
  <si>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</si>
  <si>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</si>
  <si>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</si>
  <si>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</si>
  <si>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</si>
  <si>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Removes plant excluded from the OATT because it does not meet the PJM's definition of Transmission Facilities or is otherwise ineligible to be recovered under the OATT.</t>
  </si>
  <si>
    <t>Less: Net Value of Exempted Generation Plant</t>
  </si>
  <si>
    <t xml:space="preserve">  Regional Market Expenses</t>
  </si>
  <si>
    <t>Worksheet D Supporting  IPP Credits</t>
  </si>
  <si>
    <t>Other Adjustments</t>
  </si>
  <si>
    <t>Production</t>
  </si>
  <si>
    <t xml:space="preserve">           Acct. 928 - Transmission Specific</t>
  </si>
  <si>
    <t>Remaining Unamortized Balance</t>
  </si>
  <si>
    <t>Amortization Period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</si>
  <si>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</si>
  <si>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</si>
  <si>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</si>
  <si>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</si>
  <si>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</si>
  <si>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 xml:space="preserve"> Worksheet H Supporting Taxes Other than Income</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</si>
  <si>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</si>
  <si>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</si>
  <si>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</si>
  <si>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</si>
  <si>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</si>
  <si>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</si>
  <si>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N</t>
  </si>
  <si>
    <t xml:space="preserve">  Customer Related Expense</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</si>
  <si>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</si>
  <si>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</si>
  <si>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</si>
  <si>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</si>
  <si>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</si>
  <si>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</si>
  <si>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</si>
  <si>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</si>
  <si>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</si>
  <si>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</si>
  <si>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</si>
  <si>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</si>
  <si>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Actual after True-up</t>
  </si>
  <si>
    <t>R =</t>
  </si>
  <si>
    <t>PROJECTED YEAR</t>
  </si>
  <si>
    <t xml:space="preserve">   Return (Rate Base  x  R)</t>
  </si>
  <si>
    <t xml:space="preserve">   Return   (from B. above)</t>
  </si>
  <si>
    <t xml:space="preserve">   Income Tax Calculation  (Return  x  CIT)</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</si>
  <si>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</si>
  <si>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</si>
  <si>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</si>
  <si>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</si>
  <si>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</si>
  <si>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</si>
  <si>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</si>
  <si>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</si>
  <si>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</si>
  <si>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</si>
  <si>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</si>
  <si>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</si>
  <si>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</si>
  <si>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</si>
  <si>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</si>
  <si>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</si>
  <si>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</si>
  <si>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</si>
  <si>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</si>
  <si>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</si>
  <si>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</si>
  <si>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</si>
  <si>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</si>
  <si>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</si>
  <si>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</si>
  <si>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</si>
  <si>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</si>
  <si>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</si>
  <si>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</si>
  <si>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</si>
  <si>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</si>
  <si>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</si>
  <si>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</si>
  <si>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</si>
  <si>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</si>
  <si>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</si>
  <si>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</si>
  <si>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</si>
  <si>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</si>
  <si>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</si>
  <si>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 xml:space="preserve">  Prepayments (Account 165) - Transmission Only</t>
  </si>
  <si>
    <t>Account</t>
  </si>
  <si>
    <t>Gross Receipts Tax</t>
  </si>
  <si>
    <t>Federal Excise Tax</t>
  </si>
  <si>
    <t>Property</t>
  </si>
  <si>
    <t>Non-Allocable</t>
  </si>
  <si>
    <t xml:space="preserve"> Total Taxes by Allocable Basis</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</si>
  <si>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</si>
  <si>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Year End Total Agrees to FF1 p.112, Ln 3, col (c ) &amp; (d)</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</si>
  <si>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</si>
  <si>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</si>
  <si>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</si>
  <si>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</si>
  <si>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</si>
  <si>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</si>
  <si>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</si>
  <si>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</si>
  <si>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</si>
  <si>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</si>
  <si>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</si>
  <si>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</si>
  <si>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</si>
  <si>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</si>
  <si>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</si>
  <si>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</si>
  <si>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</si>
  <si>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</si>
  <si>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</si>
  <si>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Transmsission</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</si>
  <si>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</si>
  <si>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</si>
  <si>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</si>
  <si>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</si>
  <si>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</si>
  <si>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</si>
  <si>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</si>
  <si>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</si>
  <si>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</si>
  <si>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</si>
  <si>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</si>
  <si>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</si>
  <si>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</si>
  <si>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</si>
  <si>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</si>
  <si>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</si>
  <si>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</si>
  <si>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</si>
  <si>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</si>
  <si>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</si>
  <si>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</si>
  <si>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Includes only FICA, unemployment, highway, property and other assessments charged in the current year.  Gross receipts, sales &amp; use and taxes related to income are excluded.</t>
  </si>
  <si>
    <t>RTEP Rev. Req't.</t>
  </si>
  <si>
    <t xml:space="preserve">          TEMPLATE BELOW TO MAINTAIN HISTORY OF PROJECTED ARRS OVER THE </t>
  </si>
  <si>
    <t>RTEP Projected Rev. Req't.From Prior Year WS J</t>
  </si>
  <si>
    <t>HEDGE AMOUNTS BY ISSUANCE (FROM p. 256-257 (i) of the FERC Form 1)</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</si>
  <si>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</si>
  <si>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</si>
  <si>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</si>
  <si>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</si>
  <si>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</si>
  <si>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</si>
  <si>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</si>
  <si>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</si>
  <si>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</si>
  <si>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</si>
  <si>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</si>
  <si>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</si>
  <si>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</si>
  <si>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</si>
  <si>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</si>
  <si>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</si>
  <si>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</si>
  <si>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</si>
  <si>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</si>
  <si>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</si>
  <si>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</si>
  <si>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(Total Company Amount Ties to FFI p.114, Ln 14,(c))</t>
  </si>
  <si>
    <t>June</t>
  </si>
  <si>
    <t>Subtotal - Form 1, p 111.57.d</t>
  </si>
  <si>
    <t>Total O&amp;M Allocable to Transmission</t>
  </si>
  <si>
    <t xml:space="preserve">AEP East Companies </t>
  </si>
  <si>
    <t>Transmission Cost of Service Formula Rate</t>
  </si>
  <si>
    <t>AEP East Companies</t>
  </si>
  <si>
    <t xml:space="preserve">ITC Balances Includeable Ratebase </t>
  </si>
  <si>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</si>
  <si>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</si>
  <si>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AEP EAST COMPANIES</t>
  </si>
  <si>
    <t>Worksheet  - P CALCULATION OF</t>
  </si>
  <si>
    <t>TOTAL WEIGHTED AVERAGE DEPRECIATION RATES</t>
  </si>
  <si>
    <t>FOR TRANSMISSION PLANT PROPERTY ACCOUNT</t>
  </si>
  <si>
    <t>FOR MULTIPLE JURISDICTION COMPANIES</t>
  </si>
  <si>
    <t>FERC WHOLESALE</t>
  </si>
  <si>
    <t>COMPANY</t>
  </si>
  <si>
    <t>WTD AVG.</t>
  </si>
  <si>
    <t>PLANT</t>
  </si>
  <si>
    <t>ALLOCATION</t>
  </si>
  <si>
    <t>DEPREC.</t>
  </si>
  <si>
    <t>APPROVED</t>
  </si>
  <si>
    <t>ACCT.</t>
  </si>
  <si>
    <t>RATES</t>
  </si>
  <si>
    <t>RATE</t>
  </si>
  <si>
    <t xml:space="preserve"> TRANSMISSION PLANT</t>
  </si>
  <si>
    <t xml:space="preserve">  Structures &amp; Improvements</t>
  </si>
  <si>
    <t xml:space="preserve">  Station Equipment</t>
  </si>
  <si>
    <t xml:space="preserve">  Towers &amp; Fixtures</t>
  </si>
  <si>
    <t xml:space="preserve">  Poles &amp; Fixtures</t>
  </si>
  <si>
    <t xml:space="preserve">  Underground Conduit</t>
  </si>
  <si>
    <t xml:space="preserve">  Underground Conductors</t>
  </si>
  <si>
    <t>GENERAL NOTES:</t>
  </si>
  <si>
    <t xml:space="preserve"> O &amp; M EXPENSE SUBTOTAL</t>
  </si>
  <si>
    <t xml:space="preserve">Includes functional wages &amp; salaries billed by AEP Service Corporation  for support of the operating company. </t>
  </si>
  <si>
    <t>321.112.b</t>
  </si>
  <si>
    <t>322.131.b</t>
  </si>
  <si>
    <t>323.185.b</t>
  </si>
  <si>
    <t>336.7.f</t>
  </si>
  <si>
    <t>336.10.f</t>
  </si>
  <si>
    <t>336.1.f</t>
  </si>
  <si>
    <t>(Note N)</t>
  </si>
  <si>
    <t>336.8.f</t>
  </si>
  <si>
    <t>336.2-6.f</t>
  </si>
  <si>
    <t xml:space="preserve"> (Note O)</t>
  </si>
  <si>
    <t>T</t>
  </si>
  <si>
    <t>(Note S)</t>
  </si>
  <si>
    <t xml:space="preserve">       and FIT, SIT &amp; p are as given in Note O.</t>
  </si>
  <si>
    <t>354.23.b</t>
  </si>
  <si>
    <t>354.24,25,26.b</t>
  </si>
  <si>
    <t>354.20.b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</si>
  <si>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</si>
  <si>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</si>
  <si>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</si>
  <si>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</si>
  <si>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</si>
  <si>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</si>
  <si>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Distribution</t>
  </si>
  <si>
    <t>State Business &amp; Occupation Tax</t>
  </si>
  <si>
    <t>Production Taxes</t>
  </si>
  <si>
    <t>State Severance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</si>
  <si>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</si>
  <si>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</si>
  <si>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</si>
  <si>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</si>
  <si>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</si>
  <si>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</si>
  <si>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</si>
  <si>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</si>
  <si>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</si>
  <si>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</si>
  <si>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</si>
  <si>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</si>
  <si>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</si>
  <si>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</si>
  <si>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</si>
  <si>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</si>
  <si>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</si>
  <si>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</si>
  <si>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</si>
  <si>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Relative Valuation Factor</t>
  </si>
  <si>
    <t>Functional Property Tax Allocation</t>
  </si>
  <si>
    <t>Real and Personal Property - Other Jurisdictions</t>
  </si>
  <si>
    <t>REVENUE REQUIREMENT For All Company Facilities</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</si>
  <si>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</si>
  <si>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</si>
  <si>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</si>
  <si>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</si>
  <si>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</si>
  <si>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FF1, p. 266-267, ln 8, Col. (h)</t>
  </si>
  <si>
    <t xml:space="preserve"> Worksheet B Supporting ADIT and ITC Balances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</si>
  <si>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</si>
  <si>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</si>
  <si>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</si>
  <si>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</si>
  <si>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additional incentive requirement is applicable for the life of this specific project.  Each year the revenue requirement calculated for PJM</t>
  </si>
  <si>
    <t>Revenue credits include:</t>
  </si>
  <si>
    <t>3) Rental revenues earned on assets included in the rate base.</t>
  </si>
  <si>
    <t>4) Revenues for associated business projects provided by employees whose labor and overhead costs are in the transmission cost of service.</t>
  </si>
  <si>
    <t>(Note I) (Worksheet F, ln 4.C)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</si>
  <si>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</si>
  <si>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</si>
  <si>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</si>
  <si>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</si>
  <si>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t>Accounts  4470004 &amp; 5, Revenues from Grandfathered Transmission Contracts - (Company Records - Note 1)</t>
  </si>
  <si>
    <t xml:space="preserve">     Plus: Transmission Lease Payments To Affiliates in Acct 565 (Company Records) (Note H)</t>
  </si>
  <si>
    <t>See Worksheet E for details.</t>
  </si>
  <si>
    <t xml:space="preserve"> Worksheet F Supporting Allocation of Specific O&amp;M or  A&amp;G Expenses</t>
  </si>
  <si>
    <t>Financial Hedge Recovery Limit  - Five Basis Points of Total Capital</t>
  </si>
  <si>
    <t>Limit of Recoverable Amount</t>
  </si>
  <si>
    <t>T =  Transmission</t>
  </si>
  <si>
    <t>G = General</t>
  </si>
  <si>
    <t>(Gain) / Loss</t>
  </si>
  <si>
    <t>U</t>
  </si>
  <si>
    <t>Worksheet C Supporting Working Capital Rate Base Adjustments</t>
  </si>
  <si>
    <t>Regulatory O&amp;M Deferrals &amp; Amortizations</t>
  </si>
  <si>
    <t>Total Regulatory Deferrals Included in Ratebase</t>
  </si>
  <si>
    <t>(Note E)</t>
  </si>
  <si>
    <t>Note 1</t>
  </si>
  <si>
    <t>(I)</t>
  </si>
  <si>
    <t xml:space="preserve">Average of </t>
  </si>
  <si>
    <t>Balances</t>
  </si>
  <si>
    <t xml:space="preserve">Subtotal - Form 1, p 111.57.c  </t>
  </si>
  <si>
    <t>(FF1 p.114, ln 19.c)</t>
  </si>
  <si>
    <t xml:space="preserve">  (State Income Tax Rate or Composite SIT.  Worksheet G))</t>
  </si>
  <si>
    <t>Average</t>
  </si>
  <si>
    <t>FF1, page 219, ln 26, Col. (b)</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</si>
  <si>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</si>
  <si>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</si>
  <si>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</si>
  <si>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</si>
  <si>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</si>
  <si>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</si>
  <si>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</si>
  <si>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</si>
  <si>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</si>
  <si>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</si>
  <si>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</si>
  <si>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</si>
  <si>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</si>
  <si>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</si>
  <si>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</si>
  <si>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</si>
  <si>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</si>
  <si>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</si>
  <si>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Transmission Materials &amp; Supplies</t>
  </si>
  <si>
    <t xml:space="preserve"> Worksheet G Supporting - Development of Composite State Income Tax Rate</t>
  </si>
  <si>
    <t>General Materials &amp; Supplies</t>
  </si>
  <si>
    <t xml:space="preserve">  Stores Expense </t>
  </si>
  <si>
    <t>Excludable</t>
  </si>
  <si>
    <t>Plant Related Insurance Policies</t>
  </si>
  <si>
    <t>Excess Deferred Income Tax</t>
  </si>
  <si>
    <t>Tax Affect of Permanent Differences</t>
  </si>
  <si>
    <t>Facility Credits under PJM OATT Section 30.9</t>
  </si>
  <si>
    <t xml:space="preserve"> Revenue Requirement for PJM Schedule 12 Facilities (w/o incentives)  (Worksheet J/K)</t>
  </si>
  <si>
    <t>(Worksheet B, ln 2 &amp; ln 5.E)</t>
  </si>
  <si>
    <t>(Worksheet B, ln 7 &amp; ln 10.E)</t>
  </si>
  <si>
    <t>(Worksheet B, ln 12 &amp; ln 15.E)</t>
  </si>
  <si>
    <t>(Worksheet B, ln 17 &amp; ln 20.E)</t>
  </si>
  <si>
    <t>(Worksheet B, ln 24 &amp; ln 25.E)</t>
  </si>
  <si>
    <t>(Worksheet C, ln 2.(F))</t>
  </si>
  <si>
    <t>(Worksheet C, ln 3.(F))</t>
  </si>
  <si>
    <t>(Worksheet C, ln 4.(F))</t>
  </si>
  <si>
    <t>(Note F) (Worksheet D, ln 8.B)</t>
  </si>
  <si>
    <t xml:space="preserve"> (Note U)</t>
  </si>
  <si>
    <t xml:space="preserve"> Worksheet I RESERVED FOR FUTURE USE</t>
  </si>
  <si>
    <t xml:space="preserve"> Worksheet L Reserved for Future Use</t>
  </si>
  <si>
    <t>True-up Adjustment - Over (Under) Recovery</t>
  </si>
  <si>
    <t>Interest Rate on Amount of Refunds or Surcharges</t>
  </si>
  <si>
    <t>Over (Under) Recovery Plus Interest</t>
  </si>
  <si>
    <t>Average Monthly Interest Rate</t>
  </si>
  <si>
    <t>Months</t>
  </si>
  <si>
    <t>Calculated Interest</t>
  </si>
  <si>
    <t>Amortization</t>
  </si>
  <si>
    <t>Surcharge (Refund) Owed</t>
  </si>
  <si>
    <t xml:space="preserve"> from 35.19a  </t>
  </si>
  <si>
    <t>Calculation of Interest</t>
  </si>
  <si>
    <t>Monthly</t>
  </si>
  <si>
    <t>February</t>
  </si>
  <si>
    <t>October</t>
  </si>
  <si>
    <t>November</t>
  </si>
  <si>
    <t>Annual</t>
  </si>
  <si>
    <t>January  through December</t>
  </si>
  <si>
    <t>Over (Under) Recovery Plus Interest Amortized and Recovered Over 12 Months</t>
  </si>
  <si>
    <t>Less Over (Under) Recovery</t>
  </si>
  <si>
    <t>Total Interest</t>
  </si>
  <si>
    <t>Cost of Service Formula Rate Using Actual/Projected FF1 Balances</t>
  </si>
  <si>
    <t>Worksheet Q - True-up With Interest</t>
  </si>
  <si>
    <t>True-Up Adjustment with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</si>
  <si>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</si>
  <si>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C, ln 8.F)</t>
  </si>
  <si>
    <t>(Worksheet C, ln 8.G)</t>
  </si>
  <si>
    <t>(Worksheet C, ln 8.E)</t>
  </si>
  <si>
    <t>(Worksheet C, ln 8.D)</t>
  </si>
  <si>
    <t>7) If AEP East companies have any directly assigned transmission facilities, the revenue credits in the AEP East formula rate shall include all revenues associated with those directly assigned transmission facilities, irrespective of whether the loads of the customer are included in the formula rate divisor; provided however, such addition to revenue credits shall not be reflected if the costs of such directly assigned transmission facilities are not included in the transmission plant balances on which the formula rate ATRR is based.</t>
  </si>
  <si>
    <t>The company will not include the ADIT portion of deferred hedge gains and losses in rate base.  Detailed balances for the projected or actual period, distinguished between utility and non-utility balances, will be filed and posted as part of the information filing.</t>
  </si>
  <si>
    <t xml:space="preserve">The total-company balances shown for Accounts 281, 282, 283, 190 only reflect ADIT that relates to utility operations. The balance of Account 255 is reduced by prior flowthrough and is completely excluded if the utility chose to utilize amortization of tax credits against FIT expense. An exception to this is pre-1971 ITC balances, which are required to be taken as an offset to rate base. Account 281 is not allocated.  </t>
  </si>
  <si>
    <t>In compliance with FERC Rulemaking the calculation of ADIT in the annual projection will be performed in accordance with IRS regulation Section1.167(I)-I(h)(6)(ii).</t>
  </si>
  <si>
    <t>RM02-7-000, Asset Retirement Obligation deferrals have been removed from ratebase. Transmission ADIT allocations are shown on WS B.</t>
  </si>
  <si>
    <t xml:space="preserve">Removes the impact of state regulatory deferrals or their amortization from Transmission O&amp;M expense. </t>
  </si>
  <si>
    <t>Expenses recorded in FERC Accounts 928 (Regulatory Commission Expense), 930.1 (Safety Related Advertising) and 930.2 (Miscellaneouse General Expenses) that are not directly related to or properly allocable to transmission service will be removed from the TCOS.  If AEP includes any expenses booked to these accounts in future ATRR updates, AEP must provide supporting information demonstrating that the underlying activities are directly related to providing transmission service.  Account 930.2 includes the expenses incurred by the transmission function for Associated Business Development revenues given as a credit to the TCOS on Worksheet E.</t>
  </si>
  <si>
    <t>The cost rates for long-term debt shall include interest expense and related periodic expenses (such as remarketing and letter of credit fees) as recorded in FERC Account 427 or 430, amortization of issuance costs (including insurance) and discounts as recorded in FERC Account 428, issuance premiums as recorded in FERC Account 429 and losses or gains on reacquired debt as recorded in FERC Accounts 428.1 or 429.1, respectively.  The cost rates for preferred stock (if applicable) shall include the dividends.</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</si>
  <si>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</si>
  <si>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</si>
  <si>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X</t>
  </si>
  <si>
    <t>W</t>
  </si>
  <si>
    <t>The formula rate shall allocate property tax expense based on the as filed net plant cost allocation method detailed on Worksheet H.</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</si>
  <si>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</si>
  <si>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Lease Payments, Return and Taxes</t>
  </si>
  <si>
    <t>ADDITIONAL REVENUE REQUIREMENT for projects w/ incentive ROE's (Note B) (Worksheet J/K)</t>
  </si>
  <si>
    <t xml:space="preserve">The formula rate shall reflect the applicable state and federal statutory tax rates in effect during the period the calculated estimated unit charges are applicable.  </t>
  </si>
  <si>
    <t>If the statutory tax rates change during such period, the effective tax rates used in the formula shall be weighted by the number of days the pre-change rate and post-change rate each is in effect.</t>
  </si>
  <si>
    <t>The annual and monthly net plant carrying charges on page 1 are used to compute the revenue requirement for RTEP sponsored upgrades or those projects receiving approved incentive-ROE's.  Interest  will be calculated based on Worksheet Q and any over under recovery will be filed and posted as part of the informational filing.</t>
  </si>
  <si>
    <t>Prepaid Interest - Distribution</t>
  </si>
  <si>
    <t>SFAS 112 Overfunding Asset</t>
  </si>
  <si>
    <t>Labor Related Expense</t>
  </si>
  <si>
    <t>Real and Personal Property - Tennessee</t>
  </si>
  <si>
    <t>Less: Net Value  Exempted Generation Plant</t>
  </si>
  <si>
    <t>Taxable Property Basis</t>
  </si>
  <si>
    <t>Real and Personal Property - West Virginia</t>
  </si>
  <si>
    <t xml:space="preserve">**  This is the total amount that needs to be reported to PJM for billing to all regions. </t>
  </si>
  <si>
    <t>## This is the calculation of  additional incentive revenue on projects deemed by the FERC to be eligible for an incentive return.  This</t>
  </si>
  <si>
    <t>VIRGINIA</t>
  </si>
  <si>
    <t>WEST VIRGINIA</t>
  </si>
  <si>
    <t>FERC KINGSPORT</t>
  </si>
  <si>
    <t>PSC OF WV</t>
  </si>
  <si>
    <t>VA SCC</t>
  </si>
  <si>
    <t>FACTOR  (5)</t>
  </si>
  <si>
    <t xml:space="preserve">  Land Rights - Va.</t>
  </si>
  <si>
    <t xml:space="preserve">  Energy Storage Equip</t>
  </si>
  <si>
    <t xml:space="preserve">  Overhead Conductor</t>
  </si>
  <si>
    <t xml:space="preserve">(4)  </t>
  </si>
  <si>
    <t xml:space="preserve">(5)  </t>
  </si>
  <si>
    <t>Attachment H-14B, Part II, pg. 15 of 21.</t>
  </si>
  <si>
    <t xml:space="preserve">(6)  </t>
  </si>
  <si>
    <t>APCo falls under the authority of Virginia, West Virginia and the FERC.  Therefore, APCo's rates are a composite of the jurisdictions under which it operates. Each jurisdictions' rate is multiplied by an allocation factor, and the product for each jurisdiction is added with the other jurisdictions to derive the composite rate for the company.</t>
  </si>
  <si>
    <t xml:space="preserve">(Worksheet E Ln 8) (Note A) </t>
  </si>
  <si>
    <t>(Worksheet E Ln 9) (Note X)</t>
  </si>
  <si>
    <t>Note 2</t>
  </si>
  <si>
    <t>The total of line 4 and line 5 will equal total Account 456 as listed on FF1 p.300.21-22.(b)</t>
  </si>
  <si>
    <t>5a</t>
  </si>
  <si>
    <t>5b</t>
  </si>
  <si>
    <t>Account 457.2, Miscellaneous Revenues (FF1p.300.24.(b); Company Records - Note 1)</t>
  </si>
  <si>
    <t>Account 457.1, Regional Control Service  Revenues (FF1 p.300.23.(b); Company Records - Note 1)</t>
  </si>
  <si>
    <t>Total (FERC Form 1 p.323.189.b)</t>
  </si>
  <si>
    <t>Total (FERC Form 1 p.323.191.b)</t>
  </si>
  <si>
    <t>Total (FERC Form 1 p.323.192.b)</t>
  </si>
  <si>
    <t>Gross Proceeds Outstanding Long-Term Debt</t>
  </si>
  <si>
    <t>Y</t>
  </si>
  <si>
    <t>Note 1:</t>
  </si>
  <si>
    <t>Transmission Accum Depreciation net of GSU</t>
  </si>
  <si>
    <t>December  of Rate Year</t>
  </si>
  <si>
    <t xml:space="preserve">August </t>
  </si>
  <si>
    <t xml:space="preserve">March </t>
  </si>
  <si>
    <t>December Prior to Rate Year</t>
  </si>
  <si>
    <t>Company Records</t>
  </si>
  <si>
    <t>(Note A)</t>
  </si>
  <si>
    <t>(e)</t>
  </si>
  <si>
    <t>(d)</t>
  </si>
  <si>
    <t>(c)</t>
  </si>
  <si>
    <t>(b)</t>
  </si>
  <si>
    <t>(a)</t>
  </si>
  <si>
    <t>Excluded Plant  - Accumulated Depreciation</t>
  </si>
  <si>
    <t>Excluded Plant  - Plant In Service</t>
  </si>
  <si>
    <t>OATT Ancillary Services (GSU) Accumulated Depreciation</t>
  </si>
  <si>
    <t>OATT Ancillary Services (GSU) Plant In Service</t>
  </si>
  <si>
    <t>Month</t>
  </si>
  <si>
    <t>Line 
No</t>
  </si>
  <si>
    <t>(j)</t>
  </si>
  <si>
    <t>(i)</t>
  </si>
  <si>
    <t>(h)</t>
  </si>
  <si>
    <t>Intangible</t>
  </si>
  <si>
    <t>General ARO</t>
  </si>
  <si>
    <t>Distribution ARO</t>
  </si>
  <si>
    <t>Transmission ARO</t>
  </si>
  <si>
    <t>Production ARO</t>
  </si>
  <si>
    <t>Accumulated Depreciation</t>
  </si>
  <si>
    <t>Gross Plant In Service</t>
  </si>
  <si>
    <t xml:space="preserve"> Worksheet A Rate Base</t>
  </si>
  <si>
    <t>(f)</t>
  </si>
  <si>
    <t>(g)</t>
  </si>
  <si>
    <t>Acct. 359.1
FF1, page 207 Col.(g) &amp; pg. 206 Col. (b), ln 57</t>
  </si>
  <si>
    <t xml:space="preserve">
FF1, page 207 Col.(g) &amp; pg. 206 Col. (b), ln 99</t>
  </si>
  <si>
    <t>Acct. 399.1
FF1, page 207 Col.(g) &amp; pg. 206 Col. (b), ln 98</t>
  </si>
  <si>
    <t>Company Records (Included in total in Column (b))</t>
  </si>
  <si>
    <t>Company Records (Included in total in Column (d))</t>
  </si>
  <si>
    <t>Company Records (Included in total in Column (f))</t>
  </si>
  <si>
    <t>Company Records (Included in total in Column (h))</t>
  </si>
  <si>
    <t>Company Records (included in total in column (d) of gross plant above)</t>
  </si>
  <si>
    <t>Company Records (included in total in column (b) of accumulated depreciation above)</t>
  </si>
  <si>
    <t>Tax Year</t>
  </si>
  <si>
    <t>NOTE 2: The ratebase should not include the unamoritzed balance of hedging gains or losses.</t>
  </si>
  <si>
    <t xml:space="preserve">NOTE 1: On this worksheet, "Company Records" refers to AEP's property accounting ledger. </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</si>
  <si>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</si>
  <si>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</si>
  <si>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</si>
  <si>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</si>
  <si>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</si>
  <si>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</si>
  <si>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</si>
  <si>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</si>
  <si>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</si>
  <si>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Average Balance of Long Term Debt</t>
  </si>
  <si>
    <t>Less: Fair Value Hedges</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</si>
  <si>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</si>
  <si>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</si>
  <si>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</si>
  <si>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</si>
  <si>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</si>
  <si>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</si>
  <si>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</si>
  <si>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Acct 224
Senior Unsecured Notes</t>
  </si>
  <si>
    <t>Acct 223 
LT Advances from Assoc. Companies</t>
  </si>
  <si>
    <t>Less: Acct 222 Reacquired Bonds</t>
  </si>
  <si>
    <t>Acct 221 
Bonds</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</si>
  <si>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</si>
  <si>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</si>
  <si>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</si>
  <si>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</si>
  <si>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</si>
  <si>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</si>
  <si>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</si>
  <si>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</si>
  <si>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</si>
  <si>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</si>
  <si>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</si>
  <si>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</si>
  <si>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</si>
  <si>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</si>
  <si>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</si>
  <si>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</si>
  <si>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</si>
  <si>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</si>
  <si>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</si>
  <si>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</si>
  <si>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</si>
  <si>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</si>
  <si>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</si>
  <si>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</si>
  <si>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</si>
  <si>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</si>
  <si>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</si>
  <si>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</si>
  <si>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</si>
  <si>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</si>
  <si>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282:</t>
  </si>
  <si>
    <t>TOTAL ACOUNT 282</t>
  </si>
  <si>
    <t>ACCOUNT 283:</t>
  </si>
  <si>
    <t>DEFD STATE INCOME TAXES</t>
  </si>
  <si>
    <t>TOTAL ACCOUNT 283</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</si>
  <si>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</si>
  <si>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</si>
  <si>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</si>
  <si>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</si>
  <si>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</si>
  <si>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</si>
  <si>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DEBIT  (CREDIT)</t>
  </si>
  <si>
    <t>ACCOUNT 190:</t>
  </si>
  <si>
    <t>TOTAL ACCOUNT 190</t>
  </si>
  <si>
    <t>ACCOUNT 282 - ARO-Related Deferals</t>
  </si>
  <si>
    <t>ACCOUNT 283 - ARO-Related Deferals</t>
  </si>
  <si>
    <t>ACCOUNT 190 - ARO-Related Deferals</t>
  </si>
  <si>
    <t>ACCOUNT 281 - ARO-Related Deferrals</t>
  </si>
  <si>
    <t>UNFUNDED RESERVES (ENTER NEGATIVE) (NOTE Y)</t>
  </si>
  <si>
    <t>Tax Effect of Permanent and Flow-Through Differences</t>
  </si>
  <si>
    <t>323.197.b (Notes J and M)</t>
  </si>
  <si>
    <t>53a</t>
  </si>
  <si>
    <t>53b</t>
  </si>
  <si>
    <t>Real Estate and Personal Property Taxes Total
(Ln 4 + Ln 5 + Ln 6 + Ln 7)</t>
  </si>
  <si>
    <t>Transmission Function
(Note 2)</t>
  </si>
  <si>
    <t>Total
Company</t>
  </si>
  <si>
    <t>FERC FORM 1
Tie-Back</t>
  </si>
  <si>
    <t>Real Estate and Personal Propety Tax Detail 
Annual Tax Expenses by Type (Note 1)</t>
  </si>
  <si>
    <t>Unfunded Reserves Summary (Company Records)</t>
  </si>
  <si>
    <t>GP</t>
  </si>
  <si>
    <r>
      <t>NP</t>
    </r>
    <r>
      <rPr>
        <b/>
        <strike/>
        <sz val="12"/>
        <color indexed="10"/>
        <rFont val="Arial"/>
        <family val="2"/>
      </rPr>
      <t/>
    </r>
  </si>
  <si>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</si>
  <si>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Prepayment Balance Summary (Note 1)</t>
  </si>
  <si>
    <t>Stores Expense (Undistributed) - Account 163</t>
  </si>
  <si>
    <t>Account 4560015, Associated Business Development - (Company Records - Notes 1, 2)</t>
  </si>
  <si>
    <t>Account 456 - Other Electric Revenues - (Company Records - Notes 1,2)</t>
  </si>
  <si>
    <t>Apportionment Factor - Note 1</t>
  </si>
  <si>
    <t>Note 1: The taxes assessed on each operating company can differ from year to year and between operating companies by both the type of taxes and the states in which they were assessed.  Therefore, for each company, the types and jurisdictions of tax expense recorded on this page could differ from the same page in the same company's prior year template or from this page in other operating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</si>
  <si>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</si>
  <si>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</si>
  <si>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</si>
  <si>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</si>
  <si>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</si>
  <si>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Worksheet J -  ATRR PROJECTED Calculation for PJM Projects Charged to Benefiting Zones</t>
  </si>
  <si>
    <t>Worksheet K -  ATRR TRUE-UP Calculation for PJM Projects Charged to Benefiting Zones</t>
  </si>
  <si>
    <t>INDIANA MICHIGAN POWER COMPANY</t>
  </si>
  <si>
    <t>INDIANA</t>
  </si>
  <si>
    <t>MPSC</t>
  </si>
  <si>
    <t>IURC</t>
  </si>
  <si>
    <t>FACTOR  (4)</t>
  </si>
  <si>
    <t xml:space="preserve">  Land Improvements</t>
  </si>
  <si>
    <t xml:space="preserve">  Overhead Conductors</t>
  </si>
  <si>
    <t xml:space="preserve">  Trails &amp; Roads</t>
  </si>
  <si>
    <t xml:space="preserve">  (4) The rates approved for each jurisdiction are updated when approved by that commission.  These demand-based allocation factors for all jurisdictions are updated when new rates are approved in one of the jurisdictions.  These allocation factors reflect I&amp;M's 12 monthly Coincident Peaks during test year of the most recent rate case.</t>
  </si>
  <si>
    <t>I&amp;M falls under the authority of Indiana, Michigan and the FERC.  Therefore, I&amp;M's rates are a composite of the jurisdictions under which it operates. Each jurisdictions' rate is multiplied by an allocation factor, and the product for each jurisdiction is added with the other jurisdictions to derive the composite rate for the company.</t>
  </si>
  <si>
    <t>PJM FORMULA RATE</t>
  </si>
  <si>
    <t>WORKSHEET P - TRANSMISSION DEPRECIATION RATES</t>
  </si>
  <si>
    <t>EFFECTIVE AS OF 09/1/2016</t>
  </si>
  <si>
    <t>FOR SINGLE JURISDICTION COMPANIES</t>
  </si>
  <si>
    <t>KINGSPORT POWER COMPANY</t>
  </si>
  <si>
    <t xml:space="preserve">  Composite Transmission Depreciation Rate</t>
  </si>
  <si>
    <t>Reference:</t>
  </si>
  <si>
    <t>Note 1:   Rates Approved In Tennessee Regulatory Authority Docket No. 16-00001.</t>
  </si>
  <si>
    <t>Note 2:  Kingsport Power Company does not have investment in plant accounts 357 or 358.  Therefore, there are no depreciation rates approved for these plant accounts.</t>
  </si>
  <si>
    <t>General Note</t>
  </si>
  <si>
    <t>EFFECTIVE AS OF 07/1/2015</t>
  </si>
  <si>
    <t>KENTUCKY  POWER COMPANY</t>
  </si>
  <si>
    <t xml:space="preserve">  Land Rights</t>
  </si>
  <si>
    <t>Note 1:  Rates Approved in KPSC Case No. 2014-00396.</t>
  </si>
  <si>
    <t>OHIO POWER COMPANY</t>
  </si>
  <si>
    <t xml:space="preserve">   Twrs and Fixtures Above 69 KV</t>
  </si>
  <si>
    <t xml:space="preserve">   Twrs and Fixtures Below 69 KV</t>
  </si>
  <si>
    <t xml:space="preserve">   Poles and Fixtures Above 69 KV</t>
  </si>
  <si>
    <t xml:space="preserve">   Poles and Fixtures Below 69 KV</t>
  </si>
  <si>
    <t xml:space="preserve">   Overhead Conductor &amp; Devices Above 69KV</t>
  </si>
  <si>
    <t xml:space="preserve">   Overhead Conductor &amp; Devices MSP</t>
  </si>
  <si>
    <t xml:space="preserve">   Overhead Conductor &amp; Devices 138KV/Above</t>
  </si>
  <si>
    <t xml:space="preserve">   Overhead Conductor &amp; Devices 69KV/Below</t>
  </si>
  <si>
    <t xml:space="preserve">   Overhead Conductor &amp; Devices CLR 69KV/Below</t>
  </si>
  <si>
    <t>General Note:</t>
  </si>
  <si>
    <t>WHEELING POWER COMPANY</t>
  </si>
  <si>
    <t>-</t>
  </si>
  <si>
    <t>GENERAL PLANT</t>
  </si>
  <si>
    <t>Structures &amp; Improvements</t>
  </si>
  <si>
    <t>Office Furniture &amp; Equipment</t>
  </si>
  <si>
    <t>Stores Equipment</t>
  </si>
  <si>
    <t>Tools Shop &amp; Garage Equipment</t>
  </si>
  <si>
    <t>Laboratory Equipment</t>
  </si>
  <si>
    <t>Communication Equipment</t>
  </si>
  <si>
    <t>Miscellaneous Equipment</t>
  </si>
  <si>
    <t>Total General Plant</t>
  </si>
  <si>
    <t>On this worksheet, "Company Records" refers to AEP's tax forecast and accounting ledger.  The PTRR will use projected ending balances and reflect proration required by IRS Letter Rule Section I.I67(I)-I(h)(6)(ii).  Line item detail of actual deferred tax items will be included on Worksheets B-1 and B-2.</t>
  </si>
  <si>
    <t>Tax Year 
Factor
(Note 2)</t>
  </si>
  <si>
    <t>SPECIFIED DEFERRED CREDITS - Actual Cycle Only</t>
  </si>
  <si>
    <t>ACCUMULATED DEFERRED INCOME TAX IN ACCOUNT 190 - Actual Cycle Only</t>
  </si>
  <si>
    <t>Twelve Months Ended</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</si>
  <si>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</si>
  <si>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44)</t>
    </r>
  </si>
  <si>
    <t>AEP will make a 205 filing whenever a company's rates are changed by their commission(s), or if the methodology to calculate the jurisdictional allocator in multiple-state companies changes.   Changes in the allocation factors will not necessitate a 205 filing.</t>
  </si>
  <si>
    <t>Total AEP East Operating Company PBOP Settlement Amount</t>
  </si>
  <si>
    <t>Total Company Amount</t>
  </si>
  <si>
    <t>Actual Expense (Including AEPSC Billed OPEB)</t>
  </si>
  <si>
    <t>Ratio of Company Actual to Total</t>
  </si>
  <si>
    <t>Allocation of PBOB Recovery Allowance</t>
  </si>
  <si>
    <t>One Year Functional Expense (Over)/Under</t>
  </si>
  <si>
    <t>Allowable Expense</t>
  </si>
  <si>
    <t>Line#</t>
  </si>
  <si>
    <t>Actual Expense</t>
  </si>
  <si>
    <t>(B)=(A)/Total (A)</t>
  </si>
  <si>
    <t>(E)=(A) * (D)</t>
  </si>
  <si>
    <t>(F)=(C) * (D)</t>
  </si>
  <si>
    <t>(G)=(E) - (F)</t>
  </si>
  <si>
    <t>APCo</t>
  </si>
  <si>
    <t>I&amp;M</t>
  </si>
  <si>
    <t>KPCo</t>
  </si>
  <si>
    <t>KNGP</t>
  </si>
  <si>
    <t>OPCo</t>
  </si>
  <si>
    <t>WPCo</t>
  </si>
  <si>
    <t>KNGSPT</t>
  </si>
  <si>
    <t>AEP East Total</t>
  </si>
  <si>
    <t>Direct Charged PBOP Expense per Actuarial Report</t>
  </si>
  <si>
    <t>Additional PBOP Ledger Entries (from Company Records)</t>
  </si>
  <si>
    <t>Medicare Subsidy</t>
  </si>
  <si>
    <t>PBOP Expenses From AEP Service Corporation (from Company Records)</t>
  </si>
  <si>
    <t xml:space="preserve">For the rate year 2017 and adjusted every four years thereafter, using the annual actuarial report produced for that year, filed as part of the informational filing, Worksheet O will be used to adjust PBOP costs for the next four years (i.e. 2017, 2018, 2019, 2020).  If the annual actuarial report projects PBOP costs during the next four years, taken together with the then current cumulative PBOP cost/allowance position, will, absent a change in the PBOP allowance, cause the AEP Companies to over or under collect their cumulative PBOP costs by more than 20% of the projected next four year’s total cost, the PBOP allowance shall be adjusted. Worksheet O will be used in the process of updating the PBOP allowance determining (a)  the level of cumulative over or under collections during the period since the PBOP allowance was last set, including carrying costs based on the weighted average cost of capital (“WACC”) each year from the actual formula rate; (b) the cumulative net present value of projected PBOP costs during the next four years, as estimated by the then current actuarial report, assuming a discount rate equal to the actual formula rate weighted average cost of capital for the prior calendar year; and (c) the cumulative net present value of continued collections over the next four years based on the then effective PBOP allowance, assuming a discount rate equal to the prior year WACC.  If the absolute value of (a)+(b)-(c) exceeds 20% of (b), then the PBOP allowance used in the formula rate calculation shall be changed to the value that will cause the projected result (a)+(b)-(c) to equal zero.  If the projected over or under collection during the next four years will be less than 20% of (b), then the PBOP allowacance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expense stated in the formula rate shown on Worksheet O.  No other changes to the formula rate may be included in that filing. </t>
  </si>
  <si>
    <t>Worksheet O - Calculation of Postemployment Benefits Other than Pensions Expenses Allocable to Transmission Service</t>
  </si>
  <si>
    <t>Detail of Actual PBOP Expenses to be Removed in Cost of Service</t>
  </si>
  <si>
    <t>Acct. 9260039 PBOP Expense</t>
  </si>
  <si>
    <t xml:space="preserve">          Acct. 9260057 PBOP Medicare Subsidy</t>
  </si>
  <si>
    <t xml:space="preserve">               PBOP Expense Billed From AEPSC</t>
  </si>
  <si>
    <t xml:space="preserve">         Settlement Approved PBOP Recovery</t>
  </si>
  <si>
    <t>See note K above.  Per the settlement in Docket ER08-1329, recoverable PBOP expense is based on an annual total for the operating companies that is ratioed to them based on the total of actual annual PBOP costs, including charges from the AEP Service Corportation. The calculation of the recoverable amount for each company is shown on Worksheet O.</t>
  </si>
  <si>
    <t>PBOP Worksheet O, Col. C  (Note M)</t>
  </si>
  <si>
    <t>STATE JURISDICTION #2</t>
  </si>
  <si>
    <t>These deductions on lines 81 through 83 are to remove from the cost of service the expenses recorded by the company for Postemployment Benefits Other than Pensions (PBOP).  See Note M below for the recoverable PBOP expense.</t>
  </si>
  <si>
    <t xml:space="preserve">Average of the 13 Monthly Balances </t>
  </si>
  <si>
    <t>Average of the 13 Monthly Balances</t>
  </si>
  <si>
    <t>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t>
  </si>
  <si>
    <t>The cost of service will make a rate base adjustment to remove unfunded reserves associated with contingent liabilites recorded to Accounts 228.1-228.4 from rate base.</t>
  </si>
  <si>
    <t>Transmission Plant Balances in this study are projected or actual average of 13-month balances.</t>
  </si>
  <si>
    <t>Accum Prv I/D Worker's Com</t>
  </si>
  <si>
    <t>1650001</t>
  </si>
  <si>
    <t>Prepaid Insurance</t>
  </si>
  <si>
    <t>Prepaid Taxes</t>
  </si>
  <si>
    <t>1650010</t>
  </si>
  <si>
    <t>Prepaid Pension Benefits</t>
  </si>
  <si>
    <t>1650014</t>
  </si>
  <si>
    <t>FAS 158 Qual Contra Asset</t>
  </si>
  <si>
    <t>1650021</t>
  </si>
  <si>
    <t>Prepaid Insurance - EIS</t>
  </si>
  <si>
    <t>Regulatory Commission Exp</t>
  </si>
  <si>
    <t>General Advertising Expenses</t>
  </si>
  <si>
    <t>9302000</t>
  </si>
  <si>
    <t>Misc General Expenses</t>
  </si>
  <si>
    <t>9302003</t>
  </si>
  <si>
    <t>Corporate &amp; Fiscal Expenses</t>
  </si>
  <si>
    <t>9302004</t>
  </si>
  <si>
    <t>Research, Develop&amp;Demonstr Exp</t>
  </si>
  <si>
    <t>9302006</t>
  </si>
  <si>
    <t>9302007</t>
  </si>
  <si>
    <t>Assoc Business Development Exp</t>
  </si>
  <si>
    <t>West Virginia Corporate Income Tax</t>
  </si>
  <si>
    <t>KENTUCKY POWER COMPANY</t>
  </si>
  <si>
    <t>Other Prepayments</t>
  </si>
  <si>
    <t>1650009</t>
  </si>
  <si>
    <t>Prepaid Carry Cost-Factored AR</t>
  </si>
  <si>
    <t>Prepaid Use Taxes</t>
  </si>
  <si>
    <t>Prepaid Sales Taxes</t>
  </si>
  <si>
    <t>1650023</t>
  </si>
  <si>
    <t>Prepaid Lease</t>
  </si>
  <si>
    <t>Illinois Corporation Income Tax Rate</t>
  </si>
  <si>
    <t>KENTUCKY JURISDICTION</t>
  </si>
  <si>
    <t>WEST VIRGINIA JURISDICTION</t>
  </si>
  <si>
    <t>Real and Personal Property - Kentucky</t>
  </si>
  <si>
    <t>Real and Personal Property - W Va</t>
  </si>
  <si>
    <t>Z</t>
  </si>
  <si>
    <t xml:space="preserve">Per the settlement in EL17-13, equity is limited to 55% in of the Company's capital structure.  If the percentage of actual equity exceeds the cap, the excess is included as long term debt in the capital structure.  </t>
  </si>
  <si>
    <t>Capital Structure Equity Limit (Note Z)</t>
  </si>
  <si>
    <t>Cap Limit</t>
  </si>
  <si>
    <t>Capital Structure Percentages</t>
  </si>
  <si>
    <t>9280000</t>
  </si>
  <si>
    <t>9280002</t>
  </si>
  <si>
    <t>9280005</t>
  </si>
  <si>
    <t>Regulatory Commission Exp-Case</t>
  </si>
  <si>
    <t>Reg Com Exp-FERC Trans Cases</t>
  </si>
  <si>
    <t>9301000</t>
  </si>
  <si>
    <t>9301001</t>
  </si>
  <si>
    <t>9301003</t>
  </si>
  <si>
    <t>9301012</t>
  </si>
  <si>
    <t>9301015</t>
  </si>
  <si>
    <t>Newspaper Advertising Space</t>
  </si>
  <si>
    <t>TV Station Advertising Time</t>
  </si>
  <si>
    <t>Public Opinion Surveys</t>
  </si>
  <si>
    <t>Other Corporate Comm Exp</t>
  </si>
  <si>
    <t>Prepaid - Gen</t>
  </si>
  <si>
    <t>Prepaid Lease - Dist</t>
  </si>
  <si>
    <t>Prepaid Tax - Dist</t>
  </si>
  <si>
    <t>SFAS 158 Contra Acct</t>
  </si>
  <si>
    <t>Pension</t>
  </si>
  <si>
    <t>AR Factoring</t>
  </si>
  <si>
    <t>PJM OATT Over/Under Rec</t>
  </si>
  <si>
    <t xml:space="preserve">Michigan Corporate Income Tax Rate </t>
  </si>
  <si>
    <t>Kentucky Corporate Income Tax Rate</t>
  </si>
  <si>
    <t xml:space="preserve">NON-UTILITY DEFERRED FIT </t>
  </si>
  <si>
    <t>SFAS 109 FLOW-THRU 190.3</t>
  </si>
  <si>
    <t>SFAS 109 EXCESS DFIT 190.4</t>
  </si>
  <si>
    <t>ADIT FED - PENSION OCI NAF 1900009</t>
  </si>
  <si>
    <t>ADIT FED - PENSION OCI NAF 1900010</t>
  </si>
  <si>
    <t>ADIT FED - NON-UMWA PRW OCI NAF 1900011</t>
  </si>
  <si>
    <t>ADIT-FED-HDG-CF-INT RATE1900015</t>
  </si>
  <si>
    <t>DEFERRED SIT  1901002</t>
  </si>
  <si>
    <t>TX AMORT POLLUTION CONT EQPT</t>
  </si>
  <si>
    <t>NON-UTILITY DEFERRED FIT 281.2</t>
  </si>
  <si>
    <t>SFAS 109 FLOW-THRU 281.3</t>
  </si>
  <si>
    <t>SFAS 109 EXCESS DFIT 281.4</t>
  </si>
  <si>
    <t>SFAS 109 FLOW-THRU 282.3</t>
  </si>
  <si>
    <t>SFAS 109 EXCESS DFIT 282.4</t>
  </si>
  <si>
    <t>NON-UTILITY DEFERRED FIT 283.2</t>
  </si>
  <si>
    <t>SFAS 109 FLOW-THRU 283.3</t>
  </si>
  <si>
    <t>SFAS 109 EXCESS DFIT 283.4</t>
  </si>
  <si>
    <t>SFAS 133 ADIT FED - SFAS 133 NONAFFIL 2830006</t>
  </si>
  <si>
    <t>ADIT - FED-HDG-CF-INT RATE 2830015</t>
  </si>
  <si>
    <t xml:space="preserve">SFAS 109 - DEFD STATE INCOME TAXES </t>
  </si>
  <si>
    <t>165000219</t>
  </si>
  <si>
    <t>165001219</t>
  </si>
  <si>
    <t>165001119</t>
  </si>
  <si>
    <t xml:space="preserve"> GENERAL PLANT</t>
  </si>
  <si>
    <t>Transportation Equipment</t>
  </si>
  <si>
    <t>Power Operated Equipment</t>
  </si>
  <si>
    <t>KENTUCKY POWER COMPANY, INC.</t>
  </si>
  <si>
    <t>Worksheet B-3</t>
  </si>
  <si>
    <t>Excess/ Deficient ADIT Worksheet for Total Company and Functional Balances</t>
  </si>
  <si>
    <t>Debit/(Credit)</t>
  </si>
  <si>
    <t xml:space="preserve">I </t>
  </si>
  <si>
    <t xml:space="preserve">J </t>
  </si>
  <si>
    <t>TOTAL COMPANY BALANCES</t>
  </si>
  <si>
    <t>Balance Sheet Entries</t>
  </si>
  <si>
    <t>Tax Expense Entries</t>
  </si>
  <si>
    <t xml:space="preserve">Line No. </t>
  </si>
  <si>
    <t>Description of Account</t>
  </si>
  <si>
    <t>Protected
Unprotected</t>
  </si>
  <si>
    <t>Tax Rate Change Act</t>
  </si>
  <si>
    <t>Amotization Period</t>
  </si>
  <si>
    <t>Balance Sheet Account Reclassifications</t>
  </si>
  <si>
    <t>410/411 Deferred Tax Expense/ (Benefit)</t>
  </si>
  <si>
    <t>Reference</t>
  </si>
  <si>
    <t>Sum of Cols (I) - (O)</t>
  </si>
  <si>
    <t>Deferred Tax Account (NOTE B)</t>
  </si>
  <si>
    <t>1a</t>
  </si>
  <si>
    <r>
      <t>190</t>
    </r>
    <r>
      <rPr>
        <sz val="9"/>
        <color rgb="FFFF0000"/>
        <rFont val="Arial"/>
        <family val="2"/>
      </rPr>
      <t>4</t>
    </r>
    <r>
      <rPr>
        <sz val="9"/>
        <rFont val="Arial"/>
        <family val="2"/>
      </rPr>
      <t>001</t>
    </r>
  </si>
  <si>
    <t xml:space="preserve">ADFIT - FAS 109 Excess </t>
  </si>
  <si>
    <t>N/A</t>
  </si>
  <si>
    <t>TCJA 2017</t>
  </si>
  <si>
    <t>1b</t>
  </si>
  <si>
    <r>
      <t>281</t>
    </r>
    <r>
      <rPr>
        <sz val="9"/>
        <color rgb="FFFF0000"/>
        <rFont val="Arial"/>
        <family val="2"/>
      </rPr>
      <t>1</t>
    </r>
    <r>
      <rPr>
        <sz val="9"/>
        <rFont val="Arial"/>
        <family val="2"/>
      </rPr>
      <t>001</t>
    </r>
  </si>
  <si>
    <t>ADFIT - Accel Amortization Property</t>
  </si>
  <si>
    <t>Protected</t>
  </si>
  <si>
    <t>1c</t>
  </si>
  <si>
    <r>
      <t>281</t>
    </r>
    <r>
      <rPr>
        <sz val="9"/>
        <color rgb="FFFF0000"/>
        <rFont val="Arial"/>
        <family val="2"/>
      </rPr>
      <t>4</t>
    </r>
    <r>
      <rPr>
        <sz val="9"/>
        <rFont val="Arial"/>
        <family val="2"/>
      </rPr>
      <t>001</t>
    </r>
  </si>
  <si>
    <t>ADFIT - Accel Amort FAS 109 Excess</t>
  </si>
  <si>
    <t>1d</t>
  </si>
  <si>
    <r>
      <t>282</t>
    </r>
    <r>
      <rPr>
        <sz val="9"/>
        <color rgb="FFFF0000"/>
        <rFont val="Arial"/>
        <family val="2"/>
      </rPr>
      <t>1</t>
    </r>
    <r>
      <rPr>
        <sz val="9"/>
        <rFont val="Arial"/>
        <family val="2"/>
      </rPr>
      <t>001</t>
    </r>
  </si>
  <si>
    <t>ADFIT - Utility Property</t>
  </si>
  <si>
    <t>ARAM</t>
  </si>
  <si>
    <t>Life of Asset</t>
  </si>
  <si>
    <t>1e</t>
  </si>
  <si>
    <t>Unprotected</t>
  </si>
  <si>
    <t>10 Years</t>
  </si>
  <si>
    <t>1/2018 - 12/2027</t>
  </si>
  <si>
    <t>1f</t>
  </si>
  <si>
    <r>
      <t>282</t>
    </r>
    <r>
      <rPr>
        <sz val="9"/>
        <color rgb="FFFF0000"/>
        <rFont val="Arial"/>
        <family val="2"/>
      </rPr>
      <t>4</t>
    </r>
    <r>
      <rPr>
        <sz val="9"/>
        <rFont val="Arial"/>
        <family val="2"/>
      </rPr>
      <t>001</t>
    </r>
  </si>
  <si>
    <t>ADFIT - Utility Property FAS 109 Excess</t>
  </si>
  <si>
    <t>1g</t>
  </si>
  <si>
    <t>1h</t>
  </si>
  <si>
    <r>
      <t>283</t>
    </r>
    <r>
      <rPr>
        <sz val="9"/>
        <color rgb="FFFF0000"/>
        <rFont val="Arial"/>
        <family val="2"/>
      </rPr>
      <t>1</t>
    </r>
    <r>
      <rPr>
        <sz val="9"/>
        <rFont val="Arial"/>
        <family val="2"/>
      </rPr>
      <t>001</t>
    </r>
  </si>
  <si>
    <t>ADFIT - Other Utility Deferrals</t>
  </si>
  <si>
    <t>1i</t>
  </si>
  <si>
    <r>
      <t>283</t>
    </r>
    <r>
      <rPr>
        <sz val="9"/>
        <color rgb="FFFF0000"/>
        <rFont val="Arial"/>
        <family val="2"/>
      </rPr>
      <t>4</t>
    </r>
    <r>
      <rPr>
        <sz val="9"/>
        <rFont val="Arial"/>
        <family val="2"/>
      </rPr>
      <t>001</t>
    </r>
  </si>
  <si>
    <t>ADFIT - Other FAS 109 Excess</t>
  </si>
  <si>
    <t>1j</t>
  </si>
  <si>
    <t>Regulatory Deferral Accounts</t>
  </si>
  <si>
    <t>2a</t>
  </si>
  <si>
    <t xml:space="preserve">Regulatory Asset  </t>
  </si>
  <si>
    <t xml:space="preserve"> Company Records</t>
  </si>
  <si>
    <t>2b</t>
  </si>
  <si>
    <t>Regulatory Liability</t>
  </si>
  <si>
    <t>2c</t>
  </si>
  <si>
    <t>TRANSMISSION FUNCTION BALANCES</t>
  </si>
  <si>
    <t>4a</t>
  </si>
  <si>
    <t>4b</t>
  </si>
  <si>
    <t>4c</t>
  </si>
  <si>
    <t>4d</t>
  </si>
  <si>
    <t>4e</t>
  </si>
  <si>
    <t>4f</t>
  </si>
  <si>
    <t>4g</t>
  </si>
  <si>
    <t>4h</t>
  </si>
  <si>
    <t>5c</t>
  </si>
  <si>
    <t>NOTE A</t>
  </si>
  <si>
    <t>NOTE B:</t>
  </si>
  <si>
    <t>The amount of the FIT gross up to recorded on regulatory assets and liabilities will be reported on the first line of ADIT accounts provided for each specific change in tax rates.</t>
  </si>
  <si>
    <t>NOTE C:</t>
  </si>
  <si>
    <t>NOTE D:</t>
  </si>
  <si>
    <t>NOTE E:</t>
  </si>
  <si>
    <t>NOTE E</t>
  </si>
  <si>
    <t>Total For Accounting Entires (Sum of Lines 1a through 2c)</t>
  </si>
  <si>
    <t>Total For Accounting Entires (Sum of Lines 4a through 5c)</t>
  </si>
  <si>
    <t>GENERAL NOTE:  ADIT Tax balances provided in the formula presented in Attachment H-14B are maintained on both a total company and transmission functional basis. Because both sets of numbers are presented in the formula, the information for excess and deficient ADIT is also presented for both total company and the transmission function on this worksheet.  Account 281 only applies to the generation function, so is not presented in the transmission functional summary.</t>
  </si>
  <si>
    <t>NOTE F:</t>
  </si>
  <si>
    <t>2282003</t>
  </si>
  <si>
    <t>WS B-1 Col B/C ADIT item 2.06</t>
  </si>
  <si>
    <t>2018 Forecasted Revenue Requirement For Year 2018</t>
  </si>
  <si>
    <t>An over or under collection will be recovered prorata over 2018, held for 2019 and returned prorate over 2020</t>
  </si>
  <si>
    <t>165000220</t>
  </si>
  <si>
    <t>165001220</t>
  </si>
  <si>
    <t>WS B - 1 Col N, ADIT 5.33</t>
  </si>
  <si>
    <t>WS B - 1 Cols M+N+O , ADIT Item 5.33</t>
  </si>
  <si>
    <t>Approved by FERC March 2, 1990 in Docket ER90-132</t>
  </si>
  <si>
    <t>Approved by FERC March 2, 1990 in Docket ER90-133</t>
  </si>
  <si>
    <t xml:space="preserve"> (2)  Approved by PSC of WV Order dated 2/27/2019 in</t>
  </si>
  <si>
    <t xml:space="preserve">        Case No. 18-0645-E-D effective 03/06/2019.</t>
  </si>
  <si>
    <t>Distribution Plant (recorded by state) is assigned only to</t>
  </si>
  <si>
    <t>jurisdictions within each state.</t>
  </si>
  <si>
    <t>MICHIGAN AND FERC</t>
  </si>
  <si>
    <t>$0 at Dec 2018 - use old rate</t>
  </si>
  <si>
    <t>53c</t>
  </si>
  <si>
    <t>Accm Prv I/D - Asbestos - Curr</t>
  </si>
  <si>
    <t>Accm Prv I/D - Asbestos</t>
  </si>
  <si>
    <t>2282011</t>
  </si>
  <si>
    <t>2282012</t>
  </si>
  <si>
    <t>EFFECTIVE AS OF MARCH 11, 2020</t>
  </si>
  <si>
    <t>(1) As approved in Indiana Cause No. 45235 effective March 11, 2020.</t>
  </si>
  <si>
    <t>(2) As approved in Michigan Case No. U-20359 effective February 1, 2020.</t>
  </si>
  <si>
    <t>(3) FERC wholesale formula rate agreements specify that the depreciation rates in the formula rates change upon approval of MPSC rates in the Michigan jurisdiction.</t>
  </si>
  <si>
    <t>1650006</t>
  </si>
  <si>
    <t>165001120</t>
  </si>
  <si>
    <t>1650030</t>
  </si>
  <si>
    <t>Other Prepayments - Long Term</t>
  </si>
  <si>
    <t>1650035</t>
  </si>
  <si>
    <t>PRW Without MED-D Benefits</t>
  </si>
  <si>
    <t>1650037</t>
  </si>
  <si>
    <t>FAS158 Contra-PRW Exclud Med-D</t>
  </si>
  <si>
    <t>Assoc Bus Dev - Materials Sold</t>
  </si>
  <si>
    <t>NOL ADJUSTMENT</t>
  </si>
  <si>
    <t>NOL CONTRA</t>
  </si>
  <si>
    <t>Appalachian Power Company</t>
  </si>
  <si>
    <t>SEC ALLOC-ITC-10%</t>
  </si>
  <si>
    <t xml:space="preserve">Long Term Debt cost rate = long-term interest (ln 145) /average long term debt (ln 154). Preferred Stock cost rate = preferred dividends (ln 146) /preferred outstanding (ln 155). </t>
  </si>
  <si>
    <t xml:space="preserve">Common Stock cost rate (ROE) = 10.35%, per the settlement in FERC Docket No. EL17-13. It includes an additional 50 basis points for PJM RTO membership. </t>
  </si>
  <si>
    <t>The amount of eligible hedging gains or losses included in total interest expense is limited to five basis points of the capital structure. Details and calculations of the weighted average cost of capital are shown on Worksheet M. Eligible Hedging Gains and Losses are computed on Worksheet M. The unamortized balance of eligible hedge gains/losses and related ADIT amounts shall not flow through the formula rate.</t>
  </si>
  <si>
    <t>AEP EAST OPERATING COMPANIES</t>
  </si>
  <si>
    <t>Docket ER20-1886-000</t>
  </si>
  <si>
    <t>Compliance Filing</t>
  </si>
  <si>
    <t>ATTACHMENT H-14B</t>
  </si>
  <si>
    <t>Attachment 4</t>
  </si>
  <si>
    <t>WORKSHEET B-3-A</t>
  </si>
  <si>
    <t>Page 3 of 6</t>
  </si>
  <si>
    <t>TAX REMEASUREMENT WORKSHEET</t>
  </si>
  <si>
    <t>TAX CUT and JOBS ACT of  2017</t>
  </si>
  <si>
    <t>F=E/C</t>
  </si>
  <si>
    <t>H = E +G</t>
  </si>
  <si>
    <t>J = C - H</t>
  </si>
  <si>
    <t>Line No.</t>
  </si>
  <si>
    <t xml:space="preserve">Utility Account </t>
  </si>
  <si>
    <t>12/31/17 Pre-remeasurement Balance</t>
  </si>
  <si>
    <t>Remeasurement Amount (NOTE 1)</t>
  </si>
  <si>
    <t>Remeasurement Percentage (NOTE 2)</t>
  </si>
  <si>
    <t>Adjustments (NOTE 3)</t>
  </si>
  <si>
    <t>Total Excess/Deficiency by Account (NOTE 4)</t>
  </si>
  <si>
    <t>Protected / Unprotected</t>
  </si>
  <si>
    <t>ADIT Deferral After Remesasurement</t>
  </si>
  <si>
    <t>TOTAL COMPANY</t>
  </si>
  <si>
    <t>190 - Utility</t>
  </si>
  <si>
    <t>2018 FF1 P. 234 Col (b) Line 8</t>
  </si>
  <si>
    <t>Less: Deferred State Taxes</t>
  </si>
  <si>
    <t>1901001</t>
  </si>
  <si>
    <t>2811001</t>
  </si>
  <si>
    <t>2018 FF1 P. 272 Col (b) Line 8</t>
  </si>
  <si>
    <t>2821001</t>
  </si>
  <si>
    <t>2018 FF1 P. 274 Col (b) Line 5</t>
  </si>
  <si>
    <t>283 - Utility</t>
  </si>
  <si>
    <t>2018 FF1 P. 276 Col (b) Line 9</t>
  </si>
  <si>
    <t>Less: Accrued Deferred State Tax</t>
  </si>
  <si>
    <t>2831001</t>
  </si>
  <si>
    <t>(Sum of Lns. 3+4+5+7)</t>
  </si>
  <si>
    <t>TRANSMISSION FUNCTION</t>
  </si>
  <si>
    <t>Account 1901001</t>
  </si>
  <si>
    <t>Account 2821001</t>
  </si>
  <si>
    <t>Account 2831001</t>
  </si>
  <si>
    <t xml:space="preserve">GENERAL NOTE:  This worksheet will summarize remeasurement adjustments in ADIT Accounts for both the total company and transmission function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</si>
  <si>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NOTE 1:</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</si>
  <si>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</si>
  <si>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</si>
  <si>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</si>
  <si>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</si>
  <si>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</si>
  <si>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</si>
  <si>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each Operating Company's Workpaper B-3, Column F, showing the intial remeasurement value determined as a result of the Tax Cut and Jobs Act of 2017.</t>
  </si>
  <si>
    <t xml:space="preserve">In order to ensure rate base neutrality, AEP utilizes the fourth digit of its seven digit FERC Tax subaccount numbers to identify balances associated with utility operations vs regulatory reporting requirements.  A "1" in the fourth digit of a FERC deferred tax account refers to the utility operations balance or entry.  Accounts with the "1" designation will be included in the determination of rate base to be recovered in the formula rate.   A "4" in the four place of the account number indicates accounts used to track regulatory accounting requirements.  The excess ADIT amounts recorded in accounts with the  "4" designation will be contra to the "1" balance, which will ensure that in the formula rate the excess amount will be part of rate base, but at the total FERC account level the tax asset or liability will be recorded at the current Federal FIT rate.  The amounts recorded in 4 will be offset on a net basis in the regulatory asset or liability account established for this purpose. </t>
  </si>
  <si>
    <t xml:space="preserve">The ten year amortization period for unprotected excess ADIT is consistent with the period agreed upon by the Company and its customers and approved for the Company's PJM formula rates. Appalachian Power Company, et al, 166 FERC ¶ 61,135 (2019). </t>
  </si>
  <si>
    <t>In the event of future tax rate changes, additional lines will be inserted as required to reflect any new ADIT or regulatory deferral accounts that may be necessary to track that tax rate change.</t>
  </si>
  <si>
    <t>The amount of excess amortization entries shown in lines 1a through 1_  are shown as a debit or credit to the ADIT account from which it is being amortized.  The total in line # is the offset as charged to the 410/411 account. This total amount of amortization is then reported in line 24a of the TCOS.</t>
  </si>
  <si>
    <t xml:space="preserve">Deficient remeasurement amounts will be recorded in 410.1 as a debit (expense) to cost of service,, excess remeasurement amounts will be recorded in 411.1 as credit to cost of service. </t>
  </si>
  <si>
    <t>Utility Account (NOTE A)</t>
  </si>
  <si>
    <t xml:space="preserve">Excess / Deficient Balance at Remeasurement </t>
  </si>
  <si>
    <t>Amortization Methodology (NOTE C)</t>
  </si>
  <si>
    <t>Excess / Deficient ADIT Regulatory  Offset</t>
  </si>
  <si>
    <t>Excess / Deficient ADIT in Utility Deferrals</t>
  </si>
  <si>
    <t xml:space="preserve">410/411 Excess / Deficient Amortization NOTE C/NOTE F
</t>
  </si>
  <si>
    <t>Excess/ Deficient ADIT Regulatory  Offset</t>
  </si>
  <si>
    <t>Excess /  Deficient ADIT in Utility Deferrals</t>
  </si>
  <si>
    <t>NOTE D</t>
  </si>
  <si>
    <t>182.3</t>
  </si>
  <si>
    <t>254</t>
  </si>
  <si>
    <t>WS B - 2 Col B/C, ADIT item 2.81</t>
  </si>
  <si>
    <t>WS B - 1 Col C, ADIT Item 5.38</t>
  </si>
  <si>
    <t>WS B - 1 Col C, ADIT Item 9.72</t>
  </si>
  <si>
    <t>WS B - 1 Col C, ADIT Item 9.77</t>
  </si>
  <si>
    <t>WS B - 1 Col N, item 9.72</t>
  </si>
  <si>
    <t>165000222</t>
  </si>
  <si>
    <t>9280001</t>
  </si>
  <si>
    <t>9280006</t>
  </si>
  <si>
    <t>Regulatory Commission Exp-Adm</t>
  </si>
  <si>
    <t>State Publ Serv CommissionFees</t>
  </si>
  <si>
    <t>1650041</t>
  </si>
  <si>
    <t>Prepaid Regulatory Fees</t>
  </si>
  <si>
    <t>Note 1:  Approved by PSC of WV Order dated 2/27/2019 in Case No. 18-0645-E-D effective 03/06/2019.</t>
  </si>
  <si>
    <t>EFFECTIVE AS OF 3/6/2019</t>
  </si>
  <si>
    <t>EFFECTIVE AS OF 12/1/2021</t>
  </si>
  <si>
    <t xml:space="preserve">Note 1:   No change in Transmission plant depreciation rates which were established in </t>
  </si>
  <si>
    <t>OPCo and CSP's FERC Commission Order in Docket No EC11-37-000.</t>
  </si>
  <si>
    <t xml:space="preserve">  (1) As stated in the order in VA Case No. in Case No. PUR-2020-00015, depreciation rates should be implemented at the time depreciation study is preformed.  This is the final update made to depreciation rates as a result of the order issued in PUR-2023-00002.</t>
  </si>
  <si>
    <t xml:space="preserve">Transmission allocation factors are changed annually in January based on </t>
  </si>
  <si>
    <t>September factors as per the PJM tariff approved in FERC Docket ER08-1329</t>
  </si>
  <si>
    <t xml:space="preserve">        Depreciation rates were made effective January 1, 2023.</t>
  </si>
  <si>
    <t xml:space="preserve">(7)  </t>
  </si>
  <si>
    <t>Initial depreciation rates for the jurisdictional shares of CCR/ELG investment at Amos and Mountaineer approved in VA Case No. PUR-2020-00015 and WV Case No. 20-1040-E-CN.</t>
  </si>
  <si>
    <t>EFFECTIVE AS OF 1/1/2023</t>
  </si>
  <si>
    <t>165001124</t>
  </si>
  <si>
    <t>3091 - TAX CREDIT C/F W DEF TAX</t>
  </si>
  <si>
    <t>3094 - CAMT CREDIT C/F W Def Tax</t>
  </si>
  <si>
    <t>3501 - TAX CREDIT C/F - DEF TAX ASSET(OLD)</t>
  </si>
  <si>
    <t>7002 - CUST ADV for Construction</t>
  </si>
  <si>
    <t>7021 - PROVS POSS REV REFDS-A/L</t>
  </si>
  <si>
    <t>7027 - INSURANCE PREMIUMS ACCRUED</t>
  </si>
  <si>
    <t>7029 - PROV WORKER'S COMP</t>
  </si>
  <si>
    <t>7032 - ACCRUED BK PENSION EXPENSE</t>
  </si>
  <si>
    <t>7034 - SUPPLEMENTAL EXECUTIVE RETIREMENT PLAN</t>
  </si>
  <si>
    <t>7035 - ACCRD SUP EXEC RETIR PLAN COSTS-SFAS 158</t>
  </si>
  <si>
    <t>7036 - ACCRD BK SUP. SAVINGS PLAN EXP</t>
  </si>
  <si>
    <t>7037 - ACCRUED PSI PLAN EXP</t>
  </si>
  <si>
    <t>7040 - BK PROV UNCOLL ACCTS - ST</t>
  </si>
  <si>
    <t>7048 - ACCRD COMPANYWIDE INCENTV PLAN</t>
  </si>
  <si>
    <t>7052 - ACCRUED BOOK VACATION PAY</t>
  </si>
  <si>
    <t>7054 - BOOK LEASES DEFERRED</t>
  </si>
  <si>
    <t>7055 - (ICDP)-INCENTIVE COMP DEFERRAL PLAN</t>
  </si>
  <si>
    <t>7059 - BK ACCRL- COOK CT RENT HOLIDAY</t>
  </si>
  <si>
    <t>7061 - ACCRUED BK SEVERANCE BENEFITS</t>
  </si>
  <si>
    <t>7064 - ACCRUED INTEREST EXP -STATE</t>
  </si>
  <si>
    <t>7065 - ACCRUED INTEREST-LONG-TERM - FIN 48</t>
  </si>
  <si>
    <t>7078 - FEDERAL MITIGATION PROGRAMS</t>
  </si>
  <si>
    <t>7079 - STATE MITIGATION PROGRAMS</t>
  </si>
  <si>
    <t>7083 - Litigation Accrual</t>
  </si>
  <si>
    <t>7100 - DEFD REV - SAN ANGELO SETTLEMENT</t>
  </si>
  <si>
    <t>7104 - ADVANCE RENTAL INC (CUR MO)</t>
  </si>
  <si>
    <t>7110 - REG LIAB-UNREAL MTM GAIN-DEFL</t>
  </si>
  <si>
    <t>7526 - Prepaid Regulatory Fees</t>
  </si>
  <si>
    <t>7575 - ACCRD SFAS 106 PST RETIRE EXP</t>
  </si>
  <si>
    <t>7577 - ACCRD OPEB COSTS - SFAS 158</t>
  </si>
  <si>
    <t>7580 - ACCRD SFAS 112 PST EMPLOY BEN</t>
  </si>
  <si>
    <t>7581 - ACCRD BOOK ARO EXPENSE - SFAS 143</t>
  </si>
  <si>
    <t>7584 - BOOK OPERATING LEASE - LIAB</t>
  </si>
  <si>
    <t>7589 - ACCRD SIT TX RESERVE-LNG-TERM-FIN 48</t>
  </si>
  <si>
    <t>8013 - MARK &amp; SPREAD-DEFL-190-A/L</t>
  </si>
  <si>
    <t>8016 - STOCK BASED COMP-CAREER SHARES</t>
  </si>
  <si>
    <t>8017 - PROV-TRADING CREDIT RISK - A/L</t>
  </si>
  <si>
    <t>8018 - PROV-FAS 157 - A/L</t>
  </si>
  <si>
    <t>8060 - IRS AUDIT SETTLEMENT</t>
  </si>
  <si>
    <t>8062 - RESTRICTED STOCK PLAN</t>
  </si>
  <si>
    <t>4041 - NOL - DEFERRED TAX ASSET RECLASS</t>
  </si>
  <si>
    <t>7062 - ECONOMIC DEVEL FUND - CURRENT</t>
  </si>
  <si>
    <t>8014 - EMPLOYER SAVINGS PLAN MATCH</t>
  </si>
  <si>
    <t>8015 - ACCRUED BK BENEFIT COSTS</t>
  </si>
  <si>
    <t>8053 - SFAS 106 PST RETIRE EXP - NON-DEDUCT CONT</t>
  </si>
  <si>
    <t>4002 - WV POLLUTION CONTROL ADJUSTMENT</t>
  </si>
  <si>
    <t>7042 - PREL SURVEY&amp;INVEST RESERVE-BIG SANDY FGD</t>
  </si>
  <si>
    <t>7108 - DEFD REV-BONUS LEASE SHORT-TERM</t>
  </si>
  <si>
    <t>7109 - DEFD REV-BONUS LEASE LONG-TERM</t>
  </si>
  <si>
    <t>7259 - REG ASSET-CCS FEED STUDY RESERVE</t>
  </si>
  <si>
    <t>8055 - SFAS 106 - MEDICARE SUBSIDY - NORM - (PPACA)</t>
  </si>
  <si>
    <t>7068 - ACCRUED RTO CARRYING CHARGES</t>
  </si>
  <si>
    <t>2010 - EXCESS ADFIT 282 - PROTECTED.</t>
  </si>
  <si>
    <t>2011 - EXCESS ADFIT 282 - UNPROTECTED.</t>
  </si>
  <si>
    <t>6002 - PT AFUDC Debt - NORM</t>
  </si>
  <si>
    <t>6004 - PT ARO - NORM</t>
  </si>
  <si>
    <t>6006 - PT Basis Adj - NORM</t>
  </si>
  <si>
    <t>6007 - PT CIAC - NORM</t>
  </si>
  <si>
    <t>6009 - PT COR - NORM</t>
  </si>
  <si>
    <t>6011 - PT CPI - NORM</t>
  </si>
  <si>
    <t>6018 - PT Method/Life - NORM</t>
  </si>
  <si>
    <t>6021 - PT R&amp;D Adjustment - NORM</t>
  </si>
  <si>
    <t>6022 - PT Relocation Cost - NORM</t>
  </si>
  <si>
    <t>6024 - PT Repairs UOP - NORM</t>
  </si>
  <si>
    <t>6026 - PT Software - NORM</t>
  </si>
  <si>
    <t>6028 - EFB Basis Adj - NORM</t>
  </si>
  <si>
    <t>6503 - 2021 280H 481(a)</t>
  </si>
  <si>
    <t>6523 - 2020 712L 481(a) Software</t>
  </si>
  <si>
    <t>7585 - BOOK OPERATING LEASE - ASSET</t>
  </si>
  <si>
    <t>6019 - PT Plant Acquisition Adj - NORM</t>
  </si>
  <si>
    <t>8001 - EXCESS FIT % RATE CHANGE</t>
  </si>
  <si>
    <t>7001 - PJM INTEGRATION-SEC 481(a)-INTANG-DFD LABOR</t>
  </si>
  <si>
    <t>2012 - EXCESS ADFIT 283 - UNPROTECTED.</t>
  </si>
  <si>
    <t>4017 - NOL-STATE C/F-DEF TAX ASSET-L/T - KY</t>
  </si>
  <si>
    <t>7026 - MTM BK GAIN-A/L-TAX DEFL</t>
  </si>
  <si>
    <t>7069 - REG ASSET-DEFERRED RTO COSTS</t>
  </si>
  <si>
    <t>7086 - RATE CASE DEFD CHGS</t>
  </si>
  <si>
    <t>7103 - BOOK &gt; TAX BASIS - EMA-A/C 283</t>
  </si>
  <si>
    <t>7137 - REG ASSET-SFAS 158 - PENSIONS</t>
  </si>
  <si>
    <t>7138 - REG ASSET-SFAS 158 - SERP</t>
  </si>
  <si>
    <t>7139 - REG ASSET-SFAS 158 - OPEB</t>
  </si>
  <si>
    <t>7423 - REG ASSET-FERC Formula Rates Under Recvr</t>
  </si>
  <si>
    <t>7488 - REG ASSET-NOLC Regulatory Asset</t>
  </si>
  <si>
    <t>7489 - REG ASSET-NOLC Reg Asset-Equity Carrying</t>
  </si>
  <si>
    <t>7559 - REG ASSET-NBV-ARO-RETIRED PLANTS</t>
  </si>
  <si>
    <t>7571 - LOSS ON REACQUIRED DEBT</t>
  </si>
  <si>
    <t>7583 - SFAS 106 - MEDICARE SUBSIDY - (PPACA)-REG ASSET</t>
  </si>
  <si>
    <t>7593 - REG ASSET-ACCRUED SFAS 112</t>
  </si>
  <si>
    <t>8012 - MARK &amp; SPREAD-DEFL-283-A/L</t>
  </si>
  <si>
    <t>4014 - NOL-STATE C/F-DEF TAX ASSET-L/T - IL</t>
  </si>
  <si>
    <t>4021 - NOL-STATE C/F-DEF TAX ASSET-L/T - MI</t>
  </si>
  <si>
    <t>7033 - ACCRUED BK PENSION COSTS - SFAS 158</t>
  </si>
  <si>
    <t>7099 - BK DEFL-DEMAND SIDE MNGMT EXP</t>
  </si>
  <si>
    <t>7278 - REG ASSET-ENERGY EFFICIENCY RECOVERY</t>
  </si>
  <si>
    <t>7357 - REG ASSET-NERC COMPL/CYBER CC-UNREC EQ</t>
  </si>
  <si>
    <t>7358 - REG ASSET-NERC COMPL/CYBER SEC-CAR CST</t>
  </si>
  <si>
    <t>7359 - REG ASSET-NERC COMPL/CYBER SEC-DEF DEPR</t>
  </si>
  <si>
    <t>7452 - REG ASSET-2020 KY Storm Deferral</t>
  </si>
  <si>
    <t>7460 - REG ASSET-KY Storms</t>
  </si>
  <si>
    <t>7519 - REG ASSET-2022 KY Major Storm Deferral</t>
  </si>
  <si>
    <t>7525 - REG ASSET-2023 KY Storm Deferral</t>
  </si>
  <si>
    <t>7536 - REG ASSET-KY Deferred Securitization Exp</t>
  </si>
  <si>
    <t>7609 - REG ASSET-KY 2024 STORM DEFERRAL</t>
  </si>
  <si>
    <t>4040 - NOL-STATE C/F-DEF TAX ASSET-L/T - WV</t>
  </si>
  <si>
    <t>7012 - UNDERRECOV FUEL COST</t>
  </si>
  <si>
    <t>7081 - DEFD EXPS (A/C 186)</t>
  </si>
  <si>
    <t>7140 - Other Regulatory Assets</t>
  </si>
  <si>
    <t>7151 - REG ASSET-OSS MARGIN SHARING</t>
  </si>
  <si>
    <t>7192 - REG ASSET-NET CCS FEED STUDY COSTS</t>
  </si>
  <si>
    <t>7269 - REG ASSET-IGCC PRE-CONSTRUCTION COSTS</t>
  </si>
  <si>
    <t>7325 - REG ASSET-BIG SANDY U1 OR-UNDER RECOV</t>
  </si>
  <si>
    <t>7326 - REG ASSET-BIG SANDY RETIRE COSTS RECOV</t>
  </si>
  <si>
    <t>7327 - REG ASSET-BIG SANDY RETIRE RIDER U2 O&amp;M</t>
  </si>
  <si>
    <t>7329 - REG ASSET-UNDER RECOVERY-ENVIRONMENTAL</t>
  </si>
  <si>
    <t>7333 - REG ASSET-DEFD CONSUM EXP-ENVIRON CSTS</t>
  </si>
  <si>
    <t>7351 - REG ASSET-BIG SANDY U1 OR-UNREC EQUITY CC</t>
  </si>
  <si>
    <t>7352 - REG ASSET-BIG SANDY U1 OR-UNDER RECOV CC</t>
  </si>
  <si>
    <t>7373 - REG ASSET-DEFD DEPR-BIG SANDY U1 GAS</t>
  </si>
  <si>
    <t>7376 - REG ASSET-DEFD PROP TAX-BIG SANDY U1 GAS</t>
  </si>
  <si>
    <t>7397 - REG ASSET-ROCKPORT CAPACITY DEF-EQ CC</t>
  </si>
  <si>
    <t>7398 - REG ASSET-ROCKPORT CAPACITY CC DEFERRAL</t>
  </si>
  <si>
    <t>7399 - REG ASSET-ROCKPORT CAPACITY DEFERRAL</t>
  </si>
  <si>
    <t>7400 - REG ASSET-KENTUCKY UNDER RECOV-PPA RIDER</t>
  </si>
  <si>
    <t>7430 - REG ASSET-GreenHat Settlement</t>
  </si>
  <si>
    <t>7431 - REG ASSET-KYPCo Steam Maintenance Under-Recovery</t>
  </si>
  <si>
    <t>7503 - REG ASSET-KY ELG Deferral</t>
  </si>
  <si>
    <t>7553 - REG ASSET-Tariff DR CC Deferral</t>
  </si>
  <si>
    <t>7554 - REG ASSET-Tariff DR Deferred Equity CC</t>
  </si>
  <si>
    <t>7556 - REG ASSET-REMOVAL COSTS-AMORT-BIG SANDY</t>
  </si>
  <si>
    <t>7557 - REG ASSET-SPENT ARO-BIG SANDY</t>
  </si>
  <si>
    <t>7558 - REG ASSET-UNRECOVERED PLANT-BIG SANDY</t>
  </si>
  <si>
    <t>7565 - REG ASSET-M&amp;S RETIRING PLANTS</t>
  </si>
  <si>
    <t>8004 - PROPERTY TAX-Book - NORM</t>
  </si>
  <si>
    <t>7545 - REG ASSET-HRJ 765kV Post Service AFUDC</t>
  </si>
  <si>
    <t>7546 - REG ASSET-HRJ 765jV Depreciation Expense</t>
  </si>
  <si>
    <t>pg. 263, ln. 8 (I)</t>
  </si>
  <si>
    <t>pg. 263, ln. 9 (I)</t>
  </si>
  <si>
    <t>pg. 263, ln. 12 (I)</t>
  </si>
  <si>
    <t>pg. 263, ln. 27 (I)</t>
  </si>
  <si>
    <t>pg. 263, ln. 24 (I)</t>
  </si>
  <si>
    <t>pg. 263, ln. 26 (I)</t>
  </si>
  <si>
    <t>pg. 263, ln. 23 (I)</t>
  </si>
  <si>
    <t>Energy Storage</t>
  </si>
  <si>
    <t>Energy Storage ARO</t>
  </si>
  <si>
    <t>(k)</t>
  </si>
  <si>
    <t>(l)</t>
  </si>
  <si>
    <t>FF1, page 207 Col.(g) &amp; pg. 206 Col. (b), ln 84.14</t>
  </si>
  <si>
    <t>FF1, page 207 Col.(g) &amp; pg. 206 Col. (b), ln 84.13</t>
  </si>
  <si>
    <t>FF1, page 219, ln 27.1, Col. (b)</t>
  </si>
  <si>
    <t>Excluded Energy Storage Plant  - Plant In Service</t>
  </si>
  <si>
    <t>Excluded Energy Storage Plant  - Accumulated Depreciation</t>
  </si>
  <si>
    <t>Energy Storage Materials &amp; Supplies</t>
  </si>
  <si>
    <t>FF1, p. 227, ln 10.1, Col. (c) &amp; (b)</t>
  </si>
  <si>
    <t>135a</t>
  </si>
  <si>
    <t>ENERGY STORAGE PLANT INCLUDED IN PJM TARIFF</t>
  </si>
  <si>
    <t>135b</t>
  </si>
  <si>
    <r>
      <t xml:space="preserve">   </t>
    </r>
    <r>
      <rPr>
        <sz val="12"/>
        <rFont val="Arial"/>
        <family val="2"/>
      </rPr>
      <t xml:space="preserve">Total Energy Storage Plant </t>
    </r>
  </si>
  <si>
    <t>(page 2, line 27a, column 3)</t>
  </si>
  <si>
    <t>135c</t>
  </si>
  <si>
    <r>
      <t xml:space="preserve">   </t>
    </r>
    <r>
      <rPr>
        <sz val="12"/>
        <rFont val="Arial"/>
        <family val="2"/>
      </rPr>
      <t>Less Energy Storage Plant excuded from PJM Tariff (Note</t>
    </r>
    <r>
      <rPr>
        <b/>
        <sz val="12"/>
        <rFont val="Arial"/>
        <family val="2"/>
      </rPr>
      <t xml:space="preserve"> AA)</t>
    </r>
  </si>
  <si>
    <t>(Worksheet A ln 42.(f))</t>
  </si>
  <si>
    <t>135d</t>
  </si>
  <si>
    <r>
      <t xml:space="preserve">   </t>
    </r>
    <r>
      <rPr>
        <sz val="12"/>
        <rFont val="Arial"/>
        <family val="2"/>
      </rPr>
      <t>Energy Storage plant included in PJM Tariff</t>
    </r>
  </si>
  <si>
    <t>(line 135b less line 135c)</t>
  </si>
  <si>
    <t>135e</t>
  </si>
  <si>
    <t>Percentage of Energy Storage plant included in PJM Tariff</t>
  </si>
  <si>
    <t>(line 135d divided by line 135b)</t>
  </si>
  <si>
    <t>ES=</t>
  </si>
  <si>
    <t>139a</t>
  </si>
  <si>
    <t xml:space="preserve">  Energy Storage</t>
  </si>
  <si>
    <t>354.22.1.b</t>
  </si>
  <si>
    <t>ES</t>
  </si>
  <si>
    <t>AA</t>
  </si>
  <si>
    <t>Removes energy storage plant not recovered in transmission rates as demonstrated on supporting workpaper or footnote to the Form 1, if applicable.</t>
  </si>
  <si>
    <t>BB</t>
  </si>
  <si>
    <t>Identified in Form 1 as being only energy storage related. The amount reported on Form 1 page 227, line 10.1 is entirely transmission-related unless specified in a footnote to the Form 1.</t>
  </si>
  <si>
    <t>27a</t>
  </si>
  <si>
    <t>27b</t>
  </si>
  <si>
    <t xml:space="preserve">  Less: Energy Storage ARO (Enter Negative) </t>
  </si>
  <si>
    <t>38a</t>
  </si>
  <si>
    <t>38b</t>
  </si>
  <si>
    <t>45a</t>
  </si>
  <si>
    <t>59a</t>
  </si>
  <si>
    <t xml:space="preserve">  Energy Storage Materials &amp; Supplies (Note BB)</t>
  </si>
  <si>
    <t>(Worksheet C, ln 2a.(F))</t>
  </si>
  <si>
    <t>87a</t>
  </si>
  <si>
    <t>322.131.16.b</t>
  </si>
  <si>
    <t>102a</t>
  </si>
  <si>
    <t>336.9.1b</t>
  </si>
  <si>
    <t>For Year Ended December 31, 2025</t>
  </si>
  <si>
    <t>1/1/2025 Beginning  Balances</t>
  </si>
  <si>
    <t>12/31/2025 Ending Balance</t>
  </si>
  <si>
    <t>Acc Dfrd SIT FAS 109 Flow Thru 2833002</t>
  </si>
  <si>
    <t>Acc Defd FIT - SFAS 109 Excess 2834002</t>
  </si>
  <si>
    <t>Accum Deferred SIT - Excess 1904002</t>
  </si>
  <si>
    <t>165001125</t>
  </si>
  <si>
    <t>165000221</t>
  </si>
  <si>
    <t>9301006</t>
  </si>
  <si>
    <t>9301007</t>
  </si>
  <si>
    <t>9301009</t>
  </si>
  <si>
    <t>Spec Corporate Comm Info Proj</t>
  </si>
  <si>
    <t>Special Adv Space &amp; Prod Exp</t>
  </si>
  <si>
    <t>Fairs, Shows, and Exhibits</t>
  </si>
  <si>
    <t>New Jersey Income Tax Rate</t>
  </si>
  <si>
    <t>2015 - DEFICIENT ADFIT 190 - PROTECTED</t>
  </si>
  <si>
    <t>2016 - DEFICIENT ADFIT 190 - UNPROTECTED</t>
  </si>
  <si>
    <t>7046 - PROVISION FOR LITIGATION</t>
  </si>
  <si>
    <t>7632 - KY 2025 STORM DEFERRAL</t>
  </si>
  <si>
    <t>7633 - FRINGE BENEFIT LOADING - PENSION</t>
  </si>
  <si>
    <t>7634 - FRINGE BENEFIT LOADING - OPEB</t>
  </si>
  <si>
    <t>7003 - DEFD FUEL EXP-CUR DEFL SET UP</t>
  </si>
  <si>
    <t>7667 - KY Deferred PJM Trans Costs</t>
  </si>
  <si>
    <t>8066 - DECOMM RIDER REG ASSET SECURITIZATION</t>
  </si>
  <si>
    <t>8067 - NON-DECOMM RIDER REG ASSET SECURITIZATION</t>
  </si>
  <si>
    <t>ADFIT - FAS 109 Excess</t>
  </si>
  <si>
    <t>1904001</t>
  </si>
  <si>
    <t>1904002</t>
  </si>
  <si>
    <t>ADSIT - FAS 109 Excess (State Gross Up)</t>
  </si>
  <si>
    <t>Mix</t>
  </si>
  <si>
    <t>WVHB2026</t>
  </si>
  <si>
    <t>2834001</t>
  </si>
  <si>
    <t>ADFIT - FAS 109 Excess (Fed Gross Up)</t>
  </si>
  <si>
    <t>2834002</t>
  </si>
  <si>
    <t>1k</t>
  </si>
  <si>
    <t>1l</t>
  </si>
  <si>
    <t>1m</t>
  </si>
  <si>
    <t>1n</t>
  </si>
  <si>
    <t>1o</t>
  </si>
  <si>
    <r>
      <t>190</t>
    </r>
    <r>
      <rPr>
        <sz val="10"/>
        <color rgb="FFFF0000"/>
        <rFont val="Arial"/>
        <family val="2"/>
      </rPr>
      <t>1</t>
    </r>
    <r>
      <rPr>
        <sz val="10"/>
        <rFont val="Arial"/>
        <family val="2"/>
      </rPr>
      <t>001</t>
    </r>
  </si>
  <si>
    <r>
      <t>190</t>
    </r>
    <r>
      <rPr>
        <sz val="9"/>
        <color rgb="FFFF0000"/>
        <rFont val="Arial"/>
        <family val="2"/>
      </rPr>
      <t>4</t>
    </r>
    <r>
      <rPr>
        <sz val="9"/>
        <rFont val="Arial"/>
        <family val="2"/>
      </rPr>
      <t>002</t>
    </r>
  </si>
  <si>
    <r>
      <t>283</t>
    </r>
    <r>
      <rPr>
        <sz val="7.65"/>
        <color rgb="FFFF0000"/>
        <rFont val="Arial"/>
        <family val="2"/>
      </rPr>
      <t>4</t>
    </r>
    <r>
      <rPr>
        <sz val="9"/>
        <rFont val="Arial"/>
        <family val="2"/>
      </rPr>
      <t>001</t>
    </r>
  </si>
  <si>
    <r>
      <t>283</t>
    </r>
    <r>
      <rPr>
        <sz val="7.65"/>
        <color rgb="FFFF0000"/>
        <rFont val="Arial"/>
        <family val="2"/>
      </rPr>
      <t>4</t>
    </r>
    <r>
      <rPr>
        <sz val="9"/>
        <rFont val="Arial"/>
        <family val="2"/>
      </rPr>
      <t>002</t>
    </r>
  </si>
  <si>
    <t>4i</t>
  </si>
  <si>
    <t>4j</t>
  </si>
  <si>
    <t>4k</t>
  </si>
  <si>
    <t>4l</t>
  </si>
  <si>
    <t>4m</t>
  </si>
  <si>
    <t>pg. 263, ln. 6 (I)</t>
  </si>
  <si>
    <t>pg. 263, ln. 30 (I)</t>
  </si>
  <si>
    <t>pg. 263, ln. 11 (I)</t>
  </si>
  <si>
    <t>2d</t>
  </si>
  <si>
    <t>5d</t>
  </si>
  <si>
    <t>Regulatory Liability - State Excess ADFIT</t>
  </si>
  <si>
    <t>Financial Concepts &amp; Application Fees</t>
  </si>
  <si>
    <t>Legal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</si>
</sst>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00000_);_(* \(#,##0.0000000000\);_(* &quot;-&quot;_);_(@_)"/>
    <numFmt numFmtId="182" formatCode="_(* #,##0.00000_);_(* \(#,##0.00000\);_(* &quot;-&quot;??_);_(@_)"/>
    <numFmt numFmtId="183" formatCode="#,##0.0000000"/>
    <numFmt numFmtId="184" formatCode="_(* #,##0.0000000_);_(* \(#,##0.0000000\);_(* &quot;-&quot;_);_(@_)"/>
    <numFmt numFmtId="185" formatCode="#,##0\ ;\(#,##0\)"/>
    <numFmt numFmtId="186" formatCode="_(* #,##0.0000_);_(* \(#,##0.0000\);_(* &quot;-&quot;??_);_(@_)"/>
    <numFmt numFmtId="187" formatCode="_(* #,##0.000_);_(* \(#,##0.000\);_(* &quot;-&quot;_);_(@_)"/>
    <numFmt numFmtId="188" formatCode="#,##0.000000"/>
    <numFmt numFmtId="189" formatCode="mmmm\ d\,\ yyyy"/>
    <numFmt numFmtId="190" formatCode="m/d/yy;@"/>
    <numFmt numFmtId="191" formatCode="0.000"/>
    <numFmt numFmtId="192" formatCode="0.000000_)"/>
    <numFmt numFmtId="193" formatCode="#,##0.000000_);\(#,##0.000000\)"/>
    <numFmt numFmtId="194" formatCode="0_);\(0\)"/>
    <numFmt numFmtId="195" formatCode="0.0"/>
    <numFmt numFmtId="196" formatCode="&quot;$&quot;#,##0.0000"/>
    <numFmt numFmtId="197" formatCode="[$-409]mmm\-yy;@"/>
    <numFmt numFmtId="198" formatCode="#,##0_);[Red]\(#,##0\);&quot; &quot;"/>
    <numFmt numFmtId="199" formatCode="_(* #,##0.00_);_(* \(#,##0.00\);_(* &quot;-&quot;_);_(@_)"/>
    <numFmt numFmtId="200" formatCode="mm/dd/yy_)"/>
  </numFmts>
  <fonts count="18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9"/>
      <name val="Helv"/>
    </font>
    <font>
      <sz val="10"/>
      <color indexed="12"/>
      <name val="Times New Roman"/>
      <family val="1"/>
    </font>
    <font>
      <u val="singleAccounting"/>
      <sz val="10"/>
      <name val="Arial"/>
      <family val="2"/>
    </font>
    <font>
      <sz val="14"/>
      <color indexed="23"/>
      <name val="Helv"/>
    </font>
    <font>
      <strike/>
      <sz val="12"/>
      <color indexed="10"/>
      <name val="Arial"/>
      <family val="2"/>
    </font>
    <font>
      <sz val="12"/>
      <color indexed="10"/>
      <name val="Arial MT"/>
    </font>
    <font>
      <b/>
      <strike/>
      <u/>
      <sz val="10"/>
      <color indexed="10"/>
      <name val="Arial"/>
      <family val="2"/>
    </font>
    <font>
      <strike/>
      <u/>
      <sz val="10"/>
      <color indexed="10"/>
      <name val="Arial"/>
      <family val="2"/>
    </font>
    <font>
      <sz val="8"/>
      <name val="Arial"/>
      <family val="2"/>
    </font>
    <font>
      <b/>
      <i/>
      <u/>
      <sz val="10"/>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3"/>
      <name val="Times New Roman"/>
      <family val="1"/>
    </font>
    <font>
      <sz val="10"/>
      <name val="Arial"/>
      <family val="2"/>
    </font>
    <font>
      <sz val="10"/>
      <name val="Arial MT"/>
    </font>
    <font>
      <u/>
      <sz val="11"/>
      <name val="Arial"/>
      <family val="2"/>
    </font>
    <font>
      <sz val="12"/>
      <name val="Arial Black"/>
      <family val="2"/>
    </font>
    <font>
      <sz val="10"/>
      <color indexed="12"/>
      <name val="Courier"/>
      <family val="3"/>
    </font>
    <font>
      <i/>
      <sz val="12"/>
      <name val="Arial Condensed Bold"/>
    </font>
    <font>
      <i/>
      <sz val="12"/>
      <color indexed="12"/>
      <name val="Arial Condensed Bold"/>
    </font>
    <font>
      <b/>
      <i/>
      <sz val="12"/>
      <color indexed="12"/>
      <name val="Arial MT"/>
    </font>
    <font>
      <b/>
      <i/>
      <sz val="12"/>
      <name val="Arial MT"/>
    </font>
    <font>
      <b/>
      <sz val="10"/>
      <color indexed="17"/>
      <name val="Courier"/>
      <family val="3"/>
    </font>
    <font>
      <b/>
      <sz val="12"/>
      <color indexed="17"/>
      <name val="Arial MT"/>
    </font>
    <font>
      <b/>
      <u/>
      <sz val="12"/>
      <name val="Arial MT"/>
    </font>
    <font>
      <sz val="12"/>
      <name val="Arial"/>
      <family val="2"/>
    </font>
    <font>
      <sz val="16"/>
      <name val="Arial"/>
      <family val="2"/>
    </font>
    <font>
      <sz val="12"/>
      <name val="Arial"/>
      <family val="2"/>
    </font>
    <font>
      <sz val="10"/>
      <name val="Arial"/>
      <family val="2"/>
    </font>
    <font>
      <sz val="12"/>
      <name val="Arial Narrow"/>
      <family val="2"/>
    </font>
    <font>
      <b/>
      <sz val="12"/>
      <name val="Arial Narrow"/>
      <family val="2"/>
    </font>
    <font>
      <b/>
      <u/>
      <sz val="12"/>
      <name val="Arial Narrow"/>
      <family val="2"/>
    </font>
    <font>
      <sz val="9"/>
      <name val="Arial Narrow"/>
      <family val="2"/>
    </font>
    <font>
      <sz val="10"/>
      <color indexed="9"/>
      <name val="Arial"/>
      <family val="2"/>
    </font>
    <font>
      <sz val="11"/>
      <color indexed="12"/>
      <name val="Arial"/>
      <family val="2"/>
    </font>
    <font>
      <sz val="10"/>
      <name val="Arial"/>
      <family val="2"/>
    </font>
    <font>
      <sz val="10"/>
      <name val="Arial"/>
      <family val="2"/>
    </font>
    <font>
      <sz val="10"/>
      <name val="Arial"/>
      <family val="2"/>
    </font>
    <font>
      <b/>
      <i/>
      <sz val="12"/>
      <name val="Times New Roman"/>
      <family val="1"/>
    </font>
    <font>
      <sz val="10"/>
      <color indexed="40"/>
      <name val="Arial"/>
      <family val="2"/>
    </font>
    <font>
      <sz val="10"/>
      <color indexed="40"/>
      <name val="Times New Roman"/>
      <family val="1"/>
    </font>
    <font>
      <sz val="10"/>
      <name val="Arial"/>
      <family val="2"/>
    </font>
    <font>
      <strike/>
      <sz val="10"/>
      <name val="Cambria"/>
      <family val="1"/>
    </font>
    <font>
      <b/>
      <strike/>
      <sz val="12"/>
      <color indexed="10"/>
      <name val="Arial"/>
      <family val="2"/>
    </font>
    <font>
      <sz val="10"/>
      <name val="Arial"/>
      <family val="2"/>
    </font>
    <font>
      <sz val="14"/>
      <name val="Cambria"/>
      <family val="1"/>
    </font>
    <font>
      <b/>
      <u/>
      <sz val="14"/>
      <name val="Cambria"/>
      <family val="1"/>
    </font>
    <font>
      <sz val="12"/>
      <name val="Cambria"/>
      <family val="1"/>
    </font>
    <font>
      <b/>
      <sz val="12"/>
      <name val="Arial Black"/>
      <family val="2"/>
    </font>
    <font>
      <b/>
      <sz val="12"/>
      <name val="Arial Condensed Bold"/>
    </font>
    <font>
      <sz val="10"/>
      <name val="Arial"/>
      <family val="2"/>
    </font>
    <font>
      <b/>
      <i/>
      <sz val="12"/>
      <name val="Cambria"/>
      <family val="1"/>
    </font>
    <font>
      <sz val="10"/>
      <name val="Cambria"/>
      <family val="1"/>
    </font>
    <font>
      <sz val="12"/>
      <color indexed="10"/>
      <name val="Cambria"/>
      <family val="1"/>
    </font>
    <font>
      <b/>
      <sz val="10"/>
      <name val="Cambria"/>
      <family val="1"/>
    </font>
    <font>
      <sz val="10"/>
      <color indexed="10"/>
      <name val="Cambria"/>
      <family val="1"/>
    </font>
    <font>
      <u/>
      <sz val="10"/>
      <name val="Cambria"/>
      <family val="1"/>
    </font>
    <font>
      <u/>
      <sz val="10"/>
      <color indexed="10"/>
      <name val="Cambria"/>
      <family val="1"/>
    </font>
    <font>
      <u/>
      <sz val="10"/>
      <color indexed="8"/>
      <name val="Cambria"/>
      <family val="1"/>
    </font>
    <font>
      <sz val="10"/>
      <color indexed="12"/>
      <name val="Cambria"/>
      <family val="1"/>
    </font>
    <font>
      <b/>
      <u/>
      <sz val="10"/>
      <name val="Cambria"/>
      <family val="1"/>
    </font>
    <font>
      <sz val="10"/>
      <name val="Arial"/>
      <family val="2"/>
    </font>
    <font>
      <sz val="11"/>
      <color theme="1"/>
      <name val="Calibri"/>
      <family val="2"/>
      <scheme val="minor"/>
    </font>
    <font>
      <sz val="11"/>
      <color theme="1"/>
      <name val="Calibri"/>
      <family val="2"/>
    </font>
    <font>
      <sz val="10"/>
      <color rgb="FF0000FF"/>
      <name val="Arial"/>
      <family val="2"/>
    </font>
    <font>
      <sz val="8"/>
      <color theme="1"/>
      <name val="Calibri"/>
      <family val="2"/>
      <scheme val="minor"/>
    </font>
    <font>
      <sz val="10"/>
      <color rgb="FFFF0000"/>
      <name val="Arial"/>
      <family val="2"/>
    </font>
    <font>
      <strike/>
      <sz val="12"/>
      <color rgb="FFFF0000"/>
      <name val="Cambria"/>
      <family val="1"/>
    </font>
    <font>
      <sz val="12"/>
      <color rgb="FFFF0000"/>
      <name val="Arial"/>
      <family val="2"/>
    </font>
    <font>
      <b/>
      <sz val="10"/>
      <color rgb="FFFF0000"/>
      <name val="Arial"/>
      <family val="2"/>
    </font>
    <font>
      <sz val="14"/>
      <color rgb="FFFF0000"/>
      <name val="Arial"/>
      <family val="2"/>
    </font>
    <font>
      <strike/>
      <sz val="14"/>
      <color rgb="FFFF0000"/>
      <name val="Cambria"/>
      <family val="1"/>
    </font>
    <font>
      <b/>
      <sz val="14"/>
      <color rgb="FFFF0000"/>
      <name val="Arial"/>
      <family val="2"/>
    </font>
    <font>
      <b/>
      <u/>
      <sz val="11"/>
      <name val="Arial"/>
      <family val="2"/>
    </font>
    <font>
      <sz val="10"/>
      <name val="Arial"/>
      <family val="2"/>
    </font>
    <font>
      <sz val="12"/>
      <name val="Arial MT"/>
      <family val="2"/>
    </font>
    <font>
      <sz val="9"/>
      <color rgb="FFFF0000"/>
      <name val="Arial"/>
      <family val="2"/>
    </font>
    <font>
      <sz val="9"/>
      <name val="Arial MT"/>
      <family val="2"/>
    </font>
    <font>
      <sz val="10"/>
      <color theme="1"/>
      <name val="Arial"/>
      <family val="2"/>
    </font>
    <font>
      <sz val="11"/>
      <color indexed="8"/>
      <name val="Calibri"/>
      <family val="2"/>
    </font>
    <font>
      <i/>
      <sz val="12"/>
      <name val="Arial MT"/>
    </font>
    <font>
      <b/>
      <sz val="9"/>
      <name val="Calibri Light"/>
      <family val="2"/>
    </font>
    <font>
      <sz val="7.65"/>
      <color rgb="FFFF000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7"/>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
      <patternFill patternType="solid">
        <fgColor theme="0" tint="-0.24991607409894101"/>
        <bgColor indexed="64"/>
      </patternFill>
    </fill>
    <fill>
      <patternFill patternType="darkUp">
        <bgColor theme="0" tint="-0.14990691854609822"/>
      </patternFill>
    </fill>
    <fill>
      <patternFill patternType="solid">
        <fgColor rgb="FFFFC000"/>
        <bgColor indexed="64"/>
      </patternFill>
    </fill>
    <fill>
      <patternFill patternType="darkUp">
        <bgColor theme="0"/>
      </patternFill>
    </fill>
  </fills>
  <borders count="79">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8"/>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8"/>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style="thin">
        <color auto="1"/>
      </top>
      <bottom style="thin">
        <color auto="1"/>
      </bottom>
      <diagonal/>
    </border>
    <border>
      <left/>
      <right/>
      <top style="thin">
        <color auto="1"/>
      </top>
      <bottom style="double">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double">
        <color auto="1"/>
      </top>
      <bottom style="thin">
        <color indexed="64"/>
      </bottom>
      <diagonal/>
    </border>
    <border>
      <left style="thin">
        <color auto="1"/>
      </left>
      <right style="thin">
        <color auto="1"/>
      </right>
      <top style="thin">
        <color auto="1"/>
      </top>
      <bottom/>
      <diagonal/>
    </border>
  </borders>
  <cellStyleXfs count="735">
    <xf numFmtId="0" fontId="0" fillId="0" borderId="0"/>
    <xf numFmtId="0" fontId="38" fillId="2" borderId="0" applyNumberFormat="0" applyBorder="0" applyAlignment="0" applyProtection="0"/>
    <xf numFmtId="0" fontId="38" fillId="2"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172" fontId="41" fillId="0" borderId="0" applyFill="0"/>
    <xf numFmtId="172" fontId="41" fillId="0" borderId="0">
      <alignment horizontal="center"/>
    </xf>
    <xf numFmtId="0" fontId="41" fillId="0" borderId="0" applyFill="0">
      <alignment horizontal="center"/>
    </xf>
    <xf numFmtId="172" fontId="7" fillId="0" borderId="1" applyFill="0"/>
    <xf numFmtId="0" fontId="15" fillId="0" borderId="0" applyFont="0" applyAlignment="0"/>
    <xf numFmtId="0" fontId="42" fillId="0" borderId="0" applyFill="0">
      <alignment vertical="top"/>
    </xf>
    <xf numFmtId="0" fontId="7" fillId="0" borderId="0" applyFill="0">
      <alignment horizontal="left" vertical="top"/>
    </xf>
    <xf numFmtId="172" fontId="9" fillId="0" borderId="2" applyFill="0"/>
    <xf numFmtId="0" fontId="15" fillId="0" borderId="0" applyNumberFormat="0" applyFont="0" applyAlignment="0"/>
    <xf numFmtId="0" fontId="42" fillId="0" borderId="0" applyFill="0">
      <alignment wrapText="1"/>
    </xf>
    <xf numFmtId="0" fontId="7" fillId="0" borderId="0" applyFill="0">
      <alignment horizontal="left" vertical="top" wrapText="1"/>
    </xf>
    <xf numFmtId="172" fontId="43" fillId="0" borderId="0" applyFill="0"/>
    <xf numFmtId="0" fontId="44" fillId="0" borderId="0" applyNumberFormat="0" applyFont="0" applyAlignment="0">
      <alignment horizontal="center"/>
    </xf>
    <xf numFmtId="0" fontId="45" fillId="0" borderId="0" applyFill="0">
      <alignment vertical="top" wrapText="1"/>
    </xf>
    <xf numFmtId="0" fontId="9" fillId="0" borderId="0" applyFill="0">
      <alignment horizontal="left" vertical="top" wrapText="1"/>
    </xf>
    <xf numFmtId="172" fontId="15" fillId="0" borderId="0" applyFill="0"/>
    <xf numFmtId="0" fontId="44" fillId="0" borderId="0" applyNumberFormat="0" applyFont="0" applyAlignment="0">
      <alignment horizontal="center"/>
    </xf>
    <xf numFmtId="0" fontId="31" fillId="0" borderId="0" applyFill="0">
      <alignment vertical="center" wrapText="1"/>
    </xf>
    <xf numFmtId="0" fontId="8" fillId="0" borderId="0">
      <alignment horizontal="left" vertical="center" wrapText="1"/>
    </xf>
    <xf numFmtId="172" fontId="27" fillId="0" borderId="0" applyFill="0"/>
    <xf numFmtId="0" fontId="44" fillId="0" borderId="0" applyNumberFormat="0" applyFont="0" applyAlignment="0">
      <alignment horizontal="center"/>
    </xf>
    <xf numFmtId="0" fontId="19" fillId="0" borderId="0" applyFill="0">
      <alignment horizontal="center" vertical="center" wrapText="1"/>
    </xf>
    <xf numFmtId="0" fontId="15" fillId="0" borderId="0" applyFill="0">
      <alignment horizontal="center" vertical="center" wrapText="1"/>
    </xf>
    <xf numFmtId="172" fontId="46" fillId="0" borderId="0" applyFill="0"/>
    <xf numFmtId="0" fontId="44" fillId="0" borderId="0" applyNumberFormat="0" applyFont="0" applyAlignment="0">
      <alignment horizontal="center"/>
    </xf>
    <xf numFmtId="0" fontId="47" fillId="0" borderId="0" applyFill="0">
      <alignment horizontal="center" vertical="center" wrapText="1"/>
    </xf>
    <xf numFmtId="0" fontId="48" fillId="0" borderId="0" applyFill="0">
      <alignment horizontal="center" vertical="center" wrapText="1"/>
    </xf>
    <xf numFmtId="172" fontId="49" fillId="0" borderId="0" applyFill="0"/>
    <xf numFmtId="0" fontId="44" fillId="0" borderId="0" applyNumberFormat="0" applyFont="0" applyAlignment="0">
      <alignment horizontal="center"/>
    </xf>
    <xf numFmtId="0" fontId="50" fillId="0" borderId="0">
      <alignment horizontal="center" wrapText="1"/>
    </xf>
    <xf numFmtId="0" fontId="46" fillId="0" borderId="0" applyFill="0">
      <alignment horizontal="center" wrapText="1"/>
    </xf>
    <xf numFmtId="0" fontId="51" fillId="20" borderId="3" applyNumberFormat="0" applyAlignment="0" applyProtection="0"/>
    <xf numFmtId="0" fontId="51" fillId="20" borderId="3" applyNumberFormat="0" applyAlignment="0" applyProtection="0"/>
    <xf numFmtId="0" fontId="52" fillId="21" borderId="4" applyNumberFormat="0" applyAlignment="0" applyProtection="0"/>
    <xf numFmtId="0" fontId="52" fillId="21" borderId="4" applyNumberFormat="0" applyAlignment="0" applyProtection="0"/>
    <xf numFmtId="43" fontId="5" fillId="0" borderId="0" applyFont="0" applyFill="0" applyBorder="0" applyAlignment="0" applyProtection="0"/>
    <xf numFmtId="43" fontId="15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3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8" fillId="0" borderId="0" applyFont="0" applyFill="0" applyBorder="0" applyAlignment="0" applyProtection="0"/>
    <xf numFmtId="43" fontId="15" fillId="0" borderId="0" applyFont="0" applyFill="0" applyBorder="0" applyAlignment="0" applyProtection="0"/>
    <xf numFmtId="43" fontId="141" fillId="0" borderId="0" applyFont="0" applyFill="0" applyBorder="0" applyAlignment="0" applyProtection="0"/>
    <xf numFmtId="43" fontId="15" fillId="0" borderId="0" applyFont="0" applyFill="0" applyBorder="0" applyAlignment="0" applyProtection="0"/>
    <xf numFmtId="43" fontId="158" fillId="0" borderId="0" applyFont="0" applyFill="0" applyBorder="0" applyAlignment="0" applyProtection="0"/>
    <xf numFmtId="43" fontId="159" fillId="0" borderId="0" applyFont="0" applyFill="0" applyBorder="0" applyAlignment="0" applyProtection="0"/>
    <xf numFmtId="43" fontId="15" fillId="0" borderId="0" applyFont="0" applyFill="0" applyBorder="0" applyAlignment="0" applyProtection="0"/>
    <xf numFmtId="43" fontId="138" fillId="0" borderId="0" applyFont="0" applyFill="0" applyBorder="0" applyAlignment="0" applyProtection="0"/>
    <xf numFmtId="43" fontId="15" fillId="0" borderId="0" applyFont="0" applyFill="0" applyBorder="0" applyAlignment="0" applyProtection="0"/>
    <xf numFmtId="43" fontId="159" fillId="0" borderId="0" applyFont="0" applyFill="0" applyBorder="0" applyAlignment="0" applyProtection="0"/>
    <xf numFmtId="43" fontId="15" fillId="0" borderId="0" applyFont="0" applyFill="0" applyBorder="0" applyAlignment="0" applyProtection="0"/>
    <xf numFmtId="43" fontId="159" fillId="0" borderId="0" applyFont="0" applyFill="0" applyBorder="0" applyAlignment="0" applyProtection="0"/>
    <xf numFmtId="43" fontId="14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8" fillId="0" borderId="0" applyFont="0" applyFill="0" applyBorder="0" applyAlignment="0" applyProtection="0"/>
    <xf numFmtId="43" fontId="5" fillId="0" borderId="0" applyFont="0" applyFill="0" applyBorder="0" applyAlignment="0" applyProtection="0"/>
    <xf numFmtId="3" fontId="15" fillId="0" borderId="0" applyFont="0" applyFill="0" applyBorder="0" applyAlignment="0" applyProtection="0"/>
    <xf numFmtId="44" fontId="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5" fillId="0" borderId="0" applyFont="0" applyFill="0" applyBorder="0" applyAlignment="0" applyProtection="0"/>
    <xf numFmtId="44" fontId="15" fillId="0" borderId="0" applyFont="0" applyFill="0" applyBorder="0" applyAlignment="0" applyProtection="0"/>
    <xf numFmtId="44" fontId="133"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3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38" fillId="0" borderId="0" applyFont="0" applyFill="0" applyBorder="0" applyAlignment="0" applyProtection="0"/>
    <xf numFmtId="44" fontId="15" fillId="0" borderId="0" applyFont="0" applyFill="0" applyBorder="0" applyAlignment="0" applyProtection="0"/>
    <xf numFmtId="44" fontId="158" fillId="0" borderId="0" applyFont="0" applyFill="0" applyBorder="0" applyAlignment="0" applyProtection="0"/>
    <xf numFmtId="44" fontId="159" fillId="0" borderId="0" applyFont="0" applyFill="0" applyBorder="0" applyAlignment="0" applyProtection="0"/>
    <xf numFmtId="44" fontId="15" fillId="0" borderId="0" applyFont="0" applyFill="0" applyBorder="0" applyAlignment="0" applyProtection="0"/>
    <xf numFmtId="44" fontId="138" fillId="0" borderId="0" applyFont="0" applyFill="0" applyBorder="0" applyAlignment="0" applyProtection="0"/>
    <xf numFmtId="44" fontId="15" fillId="0" borderId="0" applyFont="0" applyFill="0" applyBorder="0" applyAlignment="0" applyProtection="0"/>
    <xf numFmtId="44" fontId="159" fillId="0" borderId="0" applyFont="0" applyFill="0" applyBorder="0" applyAlignment="0" applyProtection="0"/>
    <xf numFmtId="44" fontId="158" fillId="0" borderId="0" applyFont="0" applyFill="0" applyBorder="0" applyAlignment="0" applyProtection="0"/>
    <xf numFmtId="5" fontId="15" fillId="0" borderId="0" applyFont="0" applyFill="0" applyBorder="0" applyAlignment="0" applyProtection="0"/>
    <xf numFmtId="14" fontId="15" fillId="0" borderId="0" applyFon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2" fontId="15" fillId="0" borderId="0" applyFont="0" applyFill="0" applyBorder="0" applyAlignment="0" applyProtection="0"/>
    <xf numFmtId="0" fontId="54" fillId="4" borderId="0" applyNumberFormat="0" applyBorder="0" applyAlignment="0" applyProtection="0"/>
    <xf numFmtId="0" fontId="54" fillId="4" borderId="0" applyNumberFormat="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55" fillId="0" borderId="5" applyNumberFormat="0" applyFill="0" applyAlignment="0" applyProtection="0"/>
    <xf numFmtId="0" fontId="55" fillId="0" borderId="5"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6"/>
    <xf numFmtId="0" fontId="57" fillId="0" borderId="0"/>
    <xf numFmtId="0" fontId="58" fillId="7" borderId="3" applyNumberFormat="0" applyAlignment="0" applyProtection="0"/>
    <xf numFmtId="0" fontId="58" fillId="7" borderId="3" applyNumberFormat="0" applyAlignment="0" applyProtection="0"/>
    <xf numFmtId="0" fontId="59" fillId="0" borderId="7" applyNumberFormat="0" applyFill="0" applyAlignment="0" applyProtection="0"/>
    <xf numFmtId="0" fontId="59" fillId="0" borderId="7" applyNumberFormat="0" applyFill="0" applyAlignment="0" applyProtection="0"/>
    <xf numFmtId="0" fontId="60" fillId="22" borderId="0" applyNumberFormat="0" applyBorder="0" applyAlignment="0" applyProtection="0"/>
    <xf numFmtId="0" fontId="60" fillId="22" borderId="0" applyNumberFormat="0" applyBorder="0" applyAlignment="0" applyProtection="0"/>
    <xf numFmtId="3" fontId="133" fillId="0" borderId="0"/>
    <xf numFmtId="3" fontId="15" fillId="0" borderId="0"/>
    <xf numFmtId="3" fontId="15" fillId="0" borderId="0"/>
    <xf numFmtId="3" fontId="133" fillId="0" borderId="0"/>
    <xf numFmtId="0" fontId="15" fillId="0" borderId="0"/>
    <xf numFmtId="3" fontId="15" fillId="0" borderId="0"/>
    <xf numFmtId="3" fontId="133" fillId="0" borderId="0"/>
    <xf numFmtId="3" fontId="15" fillId="0" borderId="0"/>
    <xf numFmtId="0" fontId="159" fillId="0" borderId="0"/>
    <xf numFmtId="3" fontId="133" fillId="0" borderId="0"/>
    <xf numFmtId="3" fontId="15" fillId="0" borderId="0"/>
    <xf numFmtId="3" fontId="133" fillId="0" borderId="0"/>
    <xf numFmtId="3" fontId="15" fillId="0" borderId="0"/>
    <xf numFmtId="0" fontId="15" fillId="0" borderId="0"/>
    <xf numFmtId="3" fontId="133" fillId="0" borderId="0"/>
    <xf numFmtId="3" fontId="15" fillId="0" borderId="0"/>
    <xf numFmtId="3" fontId="133" fillId="0" borderId="0"/>
    <xf numFmtId="3" fontId="15" fillId="0" borderId="0"/>
    <xf numFmtId="3" fontId="133" fillId="0" borderId="0"/>
    <xf numFmtId="3" fontId="15" fillId="0" borderId="0"/>
    <xf numFmtId="3" fontId="134" fillId="0" borderId="0"/>
    <xf numFmtId="3" fontId="15" fillId="0" borderId="0"/>
    <xf numFmtId="0" fontId="15" fillId="0" borderId="0"/>
    <xf numFmtId="0" fontId="132" fillId="0" borderId="0"/>
    <xf numFmtId="0" fontId="160" fillId="0" borderId="0"/>
    <xf numFmtId="0" fontId="15" fillId="0" borderId="0"/>
    <xf numFmtId="0" fontId="15" fillId="0" borderId="0"/>
    <xf numFmtId="0" fontId="160" fillId="0" borderId="0"/>
    <xf numFmtId="0" fontId="15" fillId="0" borderId="0"/>
    <xf numFmtId="0" fontId="15" fillId="0" borderId="0"/>
    <xf numFmtId="3" fontId="134" fillId="0" borderId="0"/>
    <xf numFmtId="3" fontId="15" fillId="0" borderId="0"/>
    <xf numFmtId="3" fontId="134" fillId="0" borderId="0"/>
    <xf numFmtId="3" fontId="15" fillId="0" borderId="0"/>
    <xf numFmtId="3" fontId="134" fillId="0" borderId="0"/>
    <xf numFmtId="3" fontId="15" fillId="0" borderId="0"/>
    <xf numFmtId="3" fontId="134" fillId="0" borderId="0"/>
    <xf numFmtId="3" fontId="15" fillId="0" borderId="0"/>
    <xf numFmtId="3" fontId="134" fillId="0" borderId="0"/>
    <xf numFmtId="3" fontId="15" fillId="0" borderId="0"/>
    <xf numFmtId="3" fontId="134" fillId="0" borderId="0"/>
    <xf numFmtId="3" fontId="15" fillId="0" borderId="0"/>
    <xf numFmtId="3" fontId="134" fillId="0" borderId="0"/>
    <xf numFmtId="3" fontId="15" fillId="0" borderId="0"/>
    <xf numFmtId="3" fontId="15" fillId="0" borderId="0"/>
    <xf numFmtId="3" fontId="141" fillId="0" borderId="0"/>
    <xf numFmtId="3" fontId="15" fillId="0" borderId="0"/>
    <xf numFmtId="3" fontId="141" fillId="0" borderId="0"/>
    <xf numFmtId="3" fontId="15" fillId="0" borderId="0"/>
    <xf numFmtId="0" fontId="15" fillId="0" borderId="0"/>
    <xf numFmtId="0" fontId="15" fillId="0" borderId="0"/>
    <xf numFmtId="3" fontId="15" fillId="0" borderId="0"/>
    <xf numFmtId="0" fontId="15" fillId="0" borderId="0"/>
    <xf numFmtId="0" fontId="5" fillId="0" borderId="0"/>
    <xf numFmtId="0" fontId="15" fillId="0" borderId="0"/>
    <xf numFmtId="0" fontId="133" fillId="0" borderId="0"/>
    <xf numFmtId="0" fontId="15" fillId="0" borderId="0"/>
    <xf numFmtId="0" fontId="15" fillId="0" borderId="0"/>
    <xf numFmtId="0" fontId="134" fillId="0" borderId="0"/>
    <xf numFmtId="0" fontId="15" fillId="0" borderId="0"/>
    <xf numFmtId="0" fontId="15" fillId="0" borderId="0"/>
    <xf numFmtId="0" fontId="15" fillId="0" borderId="0"/>
    <xf numFmtId="0" fontId="138" fillId="0" borderId="0"/>
    <xf numFmtId="0" fontId="15" fillId="0" borderId="0"/>
    <xf numFmtId="0" fontId="141" fillId="0" borderId="0"/>
    <xf numFmtId="0" fontId="15" fillId="0" borderId="0"/>
    <xf numFmtId="0" fontId="158" fillId="0" borderId="0"/>
    <xf numFmtId="0" fontId="15" fillId="0" borderId="0"/>
    <xf numFmtId="3" fontId="125" fillId="0" borderId="0"/>
    <xf numFmtId="3" fontId="15" fillId="0" borderId="0"/>
    <xf numFmtId="0" fontId="15" fillId="0" borderId="0"/>
    <xf numFmtId="3" fontId="15" fillId="0" borderId="0"/>
    <xf numFmtId="0" fontId="15" fillId="0" borderId="0"/>
    <xf numFmtId="0" fontId="159" fillId="0" borderId="0"/>
    <xf numFmtId="0" fontId="133" fillId="0" borderId="0"/>
    <xf numFmtId="0" fontId="15" fillId="0" borderId="0"/>
    <xf numFmtId="0" fontId="15" fillId="0" borderId="0"/>
    <xf numFmtId="0" fontId="134" fillId="0" borderId="0"/>
    <xf numFmtId="0" fontId="15" fillId="0" borderId="0"/>
    <xf numFmtId="0" fontId="141" fillId="0" borderId="0"/>
    <xf numFmtId="0" fontId="15" fillId="0" borderId="0"/>
    <xf numFmtId="0" fontId="159" fillId="0" borderId="0"/>
    <xf numFmtId="0" fontId="15" fillId="0" borderId="0"/>
    <xf numFmtId="0" fontId="159" fillId="0" borderId="0"/>
    <xf numFmtId="0" fontId="15" fillId="0" borderId="0"/>
    <xf numFmtId="0" fontId="159" fillId="0" borderId="0"/>
    <xf numFmtId="0" fontId="15" fillId="0" borderId="0"/>
    <xf numFmtId="0" fontId="6" fillId="0" borderId="0" applyProtection="0"/>
    <xf numFmtId="0" fontId="5" fillId="0" borderId="0"/>
    <xf numFmtId="0" fontId="134" fillId="0" borderId="0"/>
    <xf numFmtId="0" fontId="15" fillId="0" borderId="0"/>
    <xf numFmtId="0" fontId="15" fillId="0" borderId="0"/>
    <xf numFmtId="0" fontId="138" fillId="0" borderId="0"/>
    <xf numFmtId="172" fontId="6" fillId="0" borderId="0" applyProtection="0"/>
    <xf numFmtId="0" fontId="5" fillId="0" borderId="0"/>
    <xf numFmtId="0" fontId="5" fillId="0" borderId="0"/>
    <xf numFmtId="172" fontId="6" fillId="0" borderId="0" applyProtection="0"/>
    <xf numFmtId="0" fontId="73" fillId="0" borderId="0"/>
    <xf numFmtId="0" fontId="6" fillId="0" borderId="0"/>
    <xf numFmtId="0" fontId="15" fillId="0" borderId="0"/>
    <xf numFmtId="0" fontId="5" fillId="0" borderId="0"/>
    <xf numFmtId="0" fontId="6" fillId="23" borderId="8" applyNumberFormat="0" applyFont="0" applyAlignment="0" applyProtection="0"/>
    <xf numFmtId="0" fontId="6" fillId="23" borderId="8" applyNumberFormat="0" applyFont="0" applyAlignment="0" applyProtection="0"/>
    <xf numFmtId="0" fontId="61" fillId="20" borderId="9" applyNumberFormat="0" applyAlignment="0" applyProtection="0"/>
    <xf numFmtId="0" fontId="61" fillId="20" borderId="9" applyNumberFormat="0" applyAlignment="0" applyProtection="0"/>
    <xf numFmtId="9" fontId="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5" fillId="0" borderId="0" applyFont="0" applyFill="0" applyBorder="0" applyAlignment="0" applyProtection="0"/>
    <xf numFmtId="9" fontId="15" fillId="0" borderId="0" applyFont="0" applyFill="0" applyBorder="0" applyAlignment="0" applyProtection="0"/>
    <xf numFmtId="9" fontId="13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3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38" fillId="0" borderId="0" applyFont="0" applyFill="0" applyBorder="0" applyAlignment="0" applyProtection="0"/>
    <xf numFmtId="9" fontId="15" fillId="0" borderId="0" applyFont="0" applyFill="0" applyBorder="0" applyAlignment="0" applyProtection="0"/>
    <xf numFmtId="9" fontId="158" fillId="0" borderId="0" applyFont="0" applyFill="0" applyBorder="0" applyAlignment="0" applyProtection="0"/>
    <xf numFmtId="9" fontId="15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38" fillId="0" borderId="0" applyFont="0" applyFill="0" applyBorder="0" applyAlignment="0" applyProtection="0"/>
    <xf numFmtId="9" fontId="15" fillId="0" borderId="0" applyFont="0" applyFill="0" applyBorder="0" applyAlignment="0" applyProtection="0"/>
    <xf numFmtId="9" fontId="159" fillId="0" borderId="0" applyFont="0" applyFill="0" applyBorder="0" applyAlignment="0" applyProtection="0"/>
    <xf numFmtId="9" fontId="14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8" fillId="0" borderId="0" applyFont="0" applyFill="0" applyBorder="0" applyAlignment="0" applyProtection="0"/>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3" fontId="15" fillId="0" borderId="0">
      <alignment horizontal="left" vertical="top"/>
    </xf>
    <xf numFmtId="0" fontId="37" fillId="0" borderId="6">
      <alignment horizontal="center"/>
    </xf>
    <xf numFmtId="3" fontId="36" fillId="0" borderId="0" applyFont="0" applyFill="0" applyBorder="0" applyAlignment="0" applyProtection="0"/>
    <xf numFmtId="0" fontId="36" fillId="24" borderId="0" applyNumberFormat="0" applyFont="0" applyBorder="0" applyAlignment="0" applyProtection="0"/>
    <xf numFmtId="3" fontId="15" fillId="0" borderId="0">
      <alignment horizontal="right" vertical="top"/>
    </xf>
    <xf numFmtId="41" fontId="8" fillId="25" borderId="10" applyFill="0"/>
    <xf numFmtId="0" fontId="62" fillId="0" borderId="0">
      <alignment horizontal="left" indent="7"/>
    </xf>
    <xf numFmtId="41" fontId="8" fillId="0" borderId="10" applyFill="0">
      <alignment horizontal="left" indent="2"/>
    </xf>
    <xf numFmtId="172" fontId="28" fillId="0" borderId="11" applyFill="0">
      <alignment horizontal="right"/>
    </xf>
    <xf numFmtId="0" fontId="12" fillId="0" borderId="12" applyNumberFormat="0" applyFont="0" applyBorder="0">
      <alignment horizontal="right"/>
    </xf>
    <xf numFmtId="0" fontId="63" fillId="0" borderId="0" applyFill="0"/>
    <xf numFmtId="0" fontId="9" fillId="0" borderId="0" applyFill="0"/>
    <xf numFmtId="4" fontId="28" fillId="0" borderId="11" applyFill="0"/>
    <xf numFmtId="0" fontId="15" fillId="0" borderId="0" applyNumberFormat="0" applyFont="0" applyBorder="0" applyAlignment="0"/>
    <xf numFmtId="0" fontId="45" fillId="0" borderId="0" applyFill="0">
      <alignment horizontal="left" indent="1"/>
    </xf>
    <xf numFmtId="0" fontId="64" fillId="0" borderId="0" applyFill="0">
      <alignment horizontal="left" indent="1"/>
    </xf>
    <xf numFmtId="4" fontId="27" fillId="0" borderId="0" applyFill="0"/>
    <xf numFmtId="0" fontId="15" fillId="0" borderId="0" applyNumberFormat="0" applyFont="0" applyFill="0" applyBorder="0" applyAlignment="0"/>
    <xf numFmtId="0" fontId="45" fillId="0" borderId="0" applyFill="0">
      <alignment horizontal="left" indent="2"/>
    </xf>
    <xf numFmtId="0" fontId="9" fillId="0" borderId="0" applyFill="0">
      <alignment horizontal="left" indent="2"/>
    </xf>
    <xf numFmtId="4" fontId="27" fillId="0" borderId="0" applyFill="0"/>
    <xf numFmtId="0" fontId="15" fillId="0" borderId="0" applyNumberFormat="0" applyFont="0" applyBorder="0" applyAlignment="0"/>
    <xf numFmtId="0" fontId="65" fillId="0" borderId="0">
      <alignment horizontal="left" indent="3"/>
    </xf>
    <xf numFmtId="0" fontId="66" fillId="0" borderId="0" applyFill="0">
      <alignment horizontal="left" indent="3"/>
    </xf>
    <xf numFmtId="4" fontId="27" fillId="0" borderId="0" applyFill="0"/>
    <xf numFmtId="0" fontId="15" fillId="0" borderId="0" applyNumberFormat="0" applyFont="0" applyBorder="0" applyAlignment="0"/>
    <xf numFmtId="0" fontId="19" fillId="0" borderId="0">
      <alignment horizontal="left" indent="4"/>
    </xf>
    <xf numFmtId="0" fontId="15" fillId="0" borderId="0" applyFill="0">
      <alignment horizontal="left" indent="4"/>
    </xf>
    <xf numFmtId="4" fontId="46" fillId="0" borderId="0" applyFill="0"/>
    <xf numFmtId="0" fontId="15" fillId="0" borderId="0" applyNumberFormat="0" applyFont="0" applyBorder="0" applyAlignment="0"/>
    <xf numFmtId="0" fontId="47" fillId="0" borderId="0">
      <alignment horizontal="left" indent="5"/>
    </xf>
    <xf numFmtId="0" fontId="48" fillId="0" borderId="0" applyFill="0">
      <alignment horizontal="left" indent="5"/>
    </xf>
    <xf numFmtId="4" fontId="49" fillId="0" borderId="0" applyFill="0"/>
    <xf numFmtId="0" fontId="15" fillId="0" borderId="0" applyNumberFormat="0" applyFont="0" applyFill="0" applyBorder="0" applyAlignment="0"/>
    <xf numFmtId="0" fontId="50" fillId="0" borderId="0" applyFill="0">
      <alignment horizontal="left" indent="6"/>
    </xf>
    <xf numFmtId="0" fontId="46" fillId="0" borderId="0" applyFill="0">
      <alignment horizontal="left" indent="6"/>
    </xf>
    <xf numFmtId="0" fontId="67" fillId="0" borderId="0" applyNumberFormat="0" applyFill="0" applyBorder="0" applyAlignment="0" applyProtection="0"/>
    <xf numFmtId="0" fontId="67" fillId="0" borderId="0" applyNumberForma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3" fontId="171" fillId="0" borderId="0"/>
    <xf numFmtId="0" fontId="4" fillId="0" borderId="0"/>
    <xf numFmtId="0" fontId="5" fillId="0" borderId="0"/>
    <xf numFmtId="9" fontId="172" fillId="0" borderId="0" applyFont="0" applyFill="0" applyBorder="0" applyAlignment="0" applyProtection="0"/>
    <xf numFmtId="9" fontId="5" fillId="0" borderId="0" applyFont="0" applyFill="0" applyBorder="0" applyAlignment="0" applyProtection="0"/>
    <xf numFmtId="172" fontId="172" fillId="0" borderId="0" applyProtection="0"/>
    <xf numFmtId="43" fontId="4" fillId="0" borderId="0" applyFont="0" applyFill="0" applyBorder="0" applyAlignment="0" applyProtection="0"/>
    <xf numFmtId="43" fontId="172" fillId="0" borderId="0" applyFont="0" applyFill="0" applyBorder="0" applyAlignment="0" applyProtection="0"/>
    <xf numFmtId="172" fontId="172" fillId="0" borderId="0" applyProtection="0"/>
    <xf numFmtId="44" fontId="175" fillId="0" borderId="0" applyFont="0" applyFill="0" applyBorder="0" applyAlignment="0" applyProtection="0"/>
    <xf numFmtId="42" fontId="175" fillId="0" borderId="0" applyFont="0" applyFill="0" applyBorder="0" applyAlignment="0" applyProtection="0"/>
    <xf numFmtId="41" fontId="175" fillId="0" borderId="0" applyFont="0" applyFill="0" applyBorder="0" applyAlignment="0" applyProtection="0"/>
    <xf numFmtId="3" fontId="5" fillId="0" borderId="0"/>
    <xf numFmtId="0" fontId="3" fillId="0" borderId="0"/>
    <xf numFmtId="43" fontId="3" fillId="0" borderId="0" applyFont="0" applyFill="0" applyBorder="0" applyAlignment="0" applyProtection="0"/>
    <xf numFmtId="0" fontId="3" fillId="0" borderId="0"/>
    <xf numFmtId="172" fontId="172" fillId="0" borderId="0" applyProtection="0"/>
    <xf numFmtId="44" fontId="175" fillId="0" borderId="0" applyFont="0" applyFill="0" applyBorder="0" applyAlignment="0" applyProtection="0"/>
    <xf numFmtId="43" fontId="172" fillId="0" borderId="0" applyFont="0" applyFill="0" applyBorder="0" applyAlignment="0" applyProtection="0"/>
    <xf numFmtId="0" fontId="5" fillId="0" borderId="0" applyFont="0" applyAlignment="0"/>
    <xf numFmtId="172" fontId="9" fillId="0" borderId="51" applyFill="0"/>
    <xf numFmtId="0" fontId="5" fillId="0" borderId="0" applyNumberFormat="0" applyFont="0" applyAlignment="0"/>
    <xf numFmtId="172" fontId="5" fillId="0" borderId="0" applyFill="0"/>
    <xf numFmtId="0" fontId="5" fillId="0" borderId="0" applyFill="0">
      <alignment horizontal="center" vertical="center" wrapText="1"/>
    </xf>
    <xf numFmtId="0" fontId="51" fillId="20" borderId="52" applyNumberFormat="0" applyAlignment="0" applyProtection="0"/>
    <xf numFmtId="0" fontId="51" fillId="20" borderId="52"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5" fontId="5" fillId="0" borderId="0" applyFont="0" applyFill="0" applyBorder="0" applyAlignment="0" applyProtection="0"/>
    <xf numFmtId="14" fontId="5" fillId="0" borderId="0" applyFont="0" applyFill="0" applyBorder="0" applyAlignment="0" applyProtection="0"/>
    <xf numFmtId="2" fontId="5" fillId="0" borderId="0" applyFont="0" applyFill="0" applyBorder="0" applyAlignment="0" applyProtection="0"/>
    <xf numFmtId="0" fontId="58" fillId="7" borderId="52" applyNumberFormat="0" applyAlignment="0" applyProtection="0"/>
    <xf numFmtId="0" fontId="58" fillId="7" borderId="52" applyNumberFormat="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0" fontId="3" fillId="0" borderId="0"/>
    <xf numFmtId="3" fontId="5" fillId="0" borderId="0"/>
    <xf numFmtId="3" fontId="5" fillId="0" borderId="0"/>
    <xf numFmtId="3" fontId="5" fillId="0" borderId="0"/>
    <xf numFmtId="3" fontId="5" fillId="0" borderId="0"/>
    <xf numFmtId="0"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0" fontId="5" fillId="0" borderId="0"/>
    <xf numFmtId="0" fontId="5" fillId="0" borderId="0"/>
    <xf numFmtId="0" fontId="5" fillId="0" borderId="0"/>
    <xf numFmtId="0" fontId="5" fillId="0" borderId="0"/>
    <xf numFmtId="0" fontId="5" fillId="0" borderId="0"/>
    <xf numFmtId="0"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0" fontId="5" fillId="0" borderId="0"/>
    <xf numFmtId="0" fontId="5" fillId="0" borderId="0"/>
    <xf numFmtId="3"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 fontId="5" fillId="0" borderId="0"/>
    <xf numFmtId="0" fontId="5" fillId="0" borderId="0"/>
    <xf numFmtId="3"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6" fillId="23" borderId="53" applyNumberFormat="0" applyFont="0" applyAlignment="0" applyProtection="0"/>
    <xf numFmtId="0" fontId="6" fillId="23" borderId="53"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3" fontId="5" fillId="0" borderId="0">
      <alignment horizontal="left" vertical="top"/>
    </xf>
    <xf numFmtId="3" fontId="5" fillId="0" borderId="0">
      <alignment horizontal="right" vertical="top"/>
    </xf>
    <xf numFmtId="0" fontId="5" fillId="0" borderId="0" applyNumberFormat="0" applyFont="0" applyBorder="0" applyAlignment="0"/>
    <xf numFmtId="0" fontId="5" fillId="0" borderId="0" applyNumberFormat="0" applyFont="0" applyFill="0" applyBorder="0" applyAlignment="0"/>
    <xf numFmtId="0" fontId="5" fillId="0" borderId="0" applyNumberFormat="0" applyFont="0" applyBorder="0" applyAlignment="0"/>
    <xf numFmtId="0" fontId="5" fillId="0" borderId="0" applyNumberFormat="0" applyFont="0" applyBorder="0" applyAlignment="0"/>
    <xf numFmtId="0" fontId="5" fillId="0" borderId="0" applyFill="0">
      <alignment horizontal="left" indent="4"/>
    </xf>
    <xf numFmtId="0" fontId="5" fillId="0" borderId="0" applyNumberFormat="0" applyFont="0" applyBorder="0" applyAlignment="0"/>
    <xf numFmtId="0" fontId="5" fillId="0" borderId="0" applyNumberFormat="0" applyFont="0" applyFill="0" applyBorder="0" applyAlignment="0"/>
    <xf numFmtId="0" fontId="5" fillId="0" borderId="0" applyFont="0" applyFill="0" applyBorder="0" applyAlignment="0" applyProtection="0"/>
    <xf numFmtId="0" fontId="5" fillId="0" borderId="0" applyFont="0" applyFill="0" applyBorder="0" applyAlignment="0" applyProtection="0"/>
    <xf numFmtId="9" fontId="172" fillId="0" borderId="0" applyFont="0" applyFill="0" applyBorder="0" applyAlignment="0" applyProtection="0"/>
    <xf numFmtId="172" fontId="172" fillId="0" borderId="0" applyProtection="0"/>
    <xf numFmtId="43" fontId="3" fillId="0" borderId="0" applyFont="0" applyFill="0" applyBorder="0" applyAlignment="0" applyProtection="0"/>
    <xf numFmtId="172" fontId="9" fillId="0" borderId="58" applyFill="0"/>
    <xf numFmtId="0" fontId="61" fillId="20" borderId="61" applyNumberFormat="0" applyAlignment="0" applyProtection="0"/>
    <xf numFmtId="0" fontId="61" fillId="20" borderId="61" applyNumberFormat="0" applyAlignment="0" applyProtection="0"/>
    <xf numFmtId="0" fontId="6" fillId="23" borderId="60" applyNumberFormat="0" applyFont="0" applyAlignment="0" applyProtection="0"/>
    <xf numFmtId="0" fontId="6" fillId="23" borderId="60" applyNumberFormat="0" applyFont="0" applyAlignment="0" applyProtection="0"/>
    <xf numFmtId="0" fontId="51" fillId="20" borderId="59" applyNumberFormat="0" applyAlignment="0" applyProtection="0"/>
    <xf numFmtId="0" fontId="51" fillId="20" borderId="59" applyNumberFormat="0" applyAlignment="0" applyProtection="0"/>
    <xf numFmtId="172" fontId="9" fillId="0" borderId="54" applyFill="0"/>
    <xf numFmtId="0" fontId="51" fillId="20" borderId="55" applyNumberFormat="0" applyAlignment="0" applyProtection="0"/>
    <xf numFmtId="0" fontId="51" fillId="20" borderId="55" applyNumberFormat="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8" fillId="7" borderId="59" applyNumberFormat="0" applyAlignment="0" applyProtection="0"/>
    <xf numFmtId="0" fontId="58" fillId="7" borderId="59" applyNumberFormat="0" applyAlignment="0" applyProtection="0"/>
    <xf numFmtId="0" fontId="58" fillId="7" borderId="55" applyNumberFormat="0" applyAlignment="0" applyProtection="0"/>
    <xf numFmtId="0" fontId="58" fillId="7" borderId="55" applyNumberFormat="0" applyAlignment="0" applyProtection="0"/>
    <xf numFmtId="0" fontId="58" fillId="7" borderId="59" applyNumberFormat="0" applyAlignment="0" applyProtection="0"/>
    <xf numFmtId="0" fontId="58" fillId="7" borderId="59" applyNumberFormat="0" applyAlignment="0" applyProtection="0"/>
    <xf numFmtId="0" fontId="3" fillId="0" borderId="0"/>
    <xf numFmtId="0" fontId="5" fillId="0" borderId="0"/>
    <xf numFmtId="0" fontId="5" fillId="0" borderId="0"/>
    <xf numFmtId="0" fontId="3" fillId="0" borderId="0"/>
    <xf numFmtId="0" fontId="51" fillId="20" borderId="59" applyNumberFormat="0" applyAlignment="0" applyProtection="0"/>
    <xf numFmtId="0" fontId="3" fillId="0" borderId="0"/>
    <xf numFmtId="0" fontId="51" fillId="20" borderId="59" applyNumberFormat="0" applyAlignment="0" applyProtection="0"/>
    <xf numFmtId="0" fontId="3" fillId="0" borderId="0"/>
    <xf numFmtId="0" fontId="3" fillId="0" borderId="0"/>
    <xf numFmtId="0" fontId="6" fillId="23" borderId="56" applyNumberFormat="0" applyFont="0" applyAlignment="0" applyProtection="0"/>
    <xf numFmtId="0" fontId="6" fillId="23" borderId="56" applyNumberFormat="0" applyFont="0" applyAlignment="0" applyProtection="0"/>
    <xf numFmtId="0" fontId="6" fillId="23" borderId="60" applyNumberFormat="0" applyFont="0" applyAlignment="0" applyProtection="0"/>
    <xf numFmtId="0" fontId="61" fillId="20" borderId="61" applyNumberFormat="0" applyAlignment="0" applyProtection="0"/>
    <xf numFmtId="0" fontId="61" fillId="20" borderId="61" applyNumberFormat="0" applyAlignment="0" applyProtection="0"/>
    <xf numFmtId="172" fontId="9" fillId="0" borderId="58" applyFill="0"/>
    <xf numFmtId="172" fontId="7" fillId="0" borderId="50" applyFill="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6" fillId="23" borderId="60" applyNumberFormat="0" applyFont="0" applyAlignment="0" applyProtection="0"/>
    <xf numFmtId="43" fontId="3" fillId="0" borderId="0" applyFont="0" applyFill="0" applyBorder="0" applyAlignment="0" applyProtection="0"/>
    <xf numFmtId="0" fontId="12" fillId="0" borderId="57" applyNumberFormat="0" applyFont="0" applyBorder="0">
      <alignment horizontal="righ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72" fontId="9" fillId="0" borderId="63" applyFill="0"/>
    <xf numFmtId="0" fontId="61" fillId="20" borderId="66" applyNumberFormat="0" applyAlignment="0" applyProtection="0"/>
    <xf numFmtId="0" fontId="61" fillId="20" borderId="66" applyNumberFormat="0" applyAlignment="0" applyProtection="0"/>
    <xf numFmtId="0" fontId="6" fillId="23" borderId="65" applyNumberFormat="0" applyFont="0" applyAlignment="0" applyProtection="0"/>
    <xf numFmtId="0" fontId="6" fillId="23" borderId="65" applyNumberFormat="0" applyFont="0" applyAlignment="0" applyProtection="0"/>
    <xf numFmtId="0" fontId="51" fillId="20" borderId="64" applyNumberFormat="0" applyAlignment="0" applyProtection="0"/>
    <xf numFmtId="0" fontId="51" fillId="20" borderId="64"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8" fillId="7" borderId="64" applyNumberFormat="0" applyAlignment="0" applyProtection="0"/>
    <xf numFmtId="0" fontId="58" fillId="7" borderId="64" applyNumberFormat="0" applyAlignment="0" applyProtection="0"/>
    <xf numFmtId="0" fontId="58" fillId="7" borderId="64" applyNumberFormat="0" applyAlignment="0" applyProtection="0"/>
    <xf numFmtId="0" fontId="58" fillId="7" borderId="64" applyNumberFormat="0" applyAlignment="0" applyProtection="0"/>
    <xf numFmtId="0" fontId="2" fillId="0" borderId="0"/>
    <xf numFmtId="0" fontId="2" fillId="0" borderId="0"/>
    <xf numFmtId="0" fontId="51" fillId="20" borderId="64" applyNumberFormat="0" applyAlignment="0" applyProtection="0"/>
    <xf numFmtId="0" fontId="2" fillId="0" borderId="0"/>
    <xf numFmtId="0" fontId="51" fillId="20" borderId="64" applyNumberFormat="0" applyAlignment="0" applyProtection="0"/>
    <xf numFmtId="0" fontId="2" fillId="0" borderId="0"/>
    <xf numFmtId="0" fontId="2" fillId="0" borderId="0"/>
    <xf numFmtId="0" fontId="6" fillId="23" borderId="60" applyNumberFormat="0" applyFont="0" applyAlignment="0" applyProtection="0"/>
    <xf numFmtId="0" fontId="6" fillId="23" borderId="60" applyNumberFormat="0" applyFont="0" applyAlignment="0" applyProtection="0"/>
    <xf numFmtId="0" fontId="6" fillId="23" borderId="65" applyNumberFormat="0" applyFont="0" applyAlignment="0" applyProtection="0"/>
    <xf numFmtId="0" fontId="61" fillId="20" borderId="66" applyNumberFormat="0" applyAlignment="0" applyProtection="0"/>
    <xf numFmtId="0" fontId="61" fillId="20" borderId="66" applyNumberFormat="0" applyAlignment="0" applyProtection="0"/>
    <xf numFmtId="172" fontId="9" fillId="0" borderId="63" applyFill="0"/>
    <xf numFmtId="9" fontId="2" fillId="0" borderId="0" applyFont="0" applyFill="0" applyBorder="0" applyAlignment="0" applyProtection="0"/>
    <xf numFmtId="9" fontId="2" fillId="0" borderId="0" applyFont="0" applyFill="0" applyBorder="0" applyAlignment="0" applyProtection="0"/>
    <xf numFmtId="0" fontId="2" fillId="0" borderId="0"/>
    <xf numFmtId="0" fontId="6" fillId="23" borderId="65" applyNumberFormat="0" applyFont="0" applyAlignment="0" applyProtection="0"/>
    <xf numFmtId="43" fontId="2" fillId="0" borderId="0" applyFont="0" applyFill="0" applyBorder="0" applyAlignment="0" applyProtection="0"/>
    <xf numFmtId="0" fontId="12" fillId="0" borderId="62" applyNumberFormat="0" applyFont="0" applyBorder="0">
      <alignment horizontal="right"/>
    </xf>
    <xf numFmtId="0" fontId="5" fillId="0" borderId="0"/>
    <xf numFmtId="43" fontId="5" fillId="0" borderId="0" applyFont="0" applyFill="0" applyBorder="0" applyAlignment="0" applyProtection="0"/>
    <xf numFmtId="43" fontId="17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6" fillId="0" borderId="0" applyFont="0" applyFill="0" applyBorder="0" applyAlignment="0" applyProtection="0"/>
    <xf numFmtId="43" fontId="176" fillId="0" borderId="0" applyFont="0" applyFill="0" applyBorder="0" applyAlignment="0" applyProtection="0"/>
    <xf numFmtId="43" fontId="176"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76" fillId="0" borderId="0" applyFont="0" applyFill="0" applyBorder="0" applyAlignment="0" applyProtection="0"/>
    <xf numFmtId="44" fontId="176" fillId="0" borderId="0" applyFont="0" applyFill="0" applyBorder="0" applyAlignment="0" applyProtection="0"/>
    <xf numFmtId="44" fontId="5" fillId="0" borderId="0" applyFont="0" applyFill="0" applyBorder="0" applyAlignment="0" applyProtection="0"/>
    <xf numFmtId="0" fontId="5" fillId="0" borderId="0"/>
    <xf numFmtId="0" fontId="2" fillId="0" borderId="0"/>
    <xf numFmtId="0" fontId="5" fillId="0" borderId="0"/>
    <xf numFmtId="3" fontId="5" fillId="0" borderId="0"/>
    <xf numFmtId="0" fontId="5" fillId="0" borderId="0"/>
    <xf numFmtId="0" fontId="5"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6" fillId="0" borderId="0" applyFont="0" applyFill="0" applyBorder="0" applyAlignment="0" applyProtection="0"/>
    <xf numFmtId="9" fontId="176" fillId="0" borderId="0" applyFont="0" applyFill="0" applyBorder="0" applyAlignment="0" applyProtection="0"/>
    <xf numFmtId="9" fontId="5" fillId="0" borderId="0" applyFont="0" applyFill="0" applyBorder="0" applyAlignment="0" applyProtection="0"/>
    <xf numFmtId="0" fontId="2" fillId="0" borderId="0"/>
    <xf numFmtId="9" fontId="172" fillId="0" borderId="0" applyFont="0" applyFill="0" applyBorder="0" applyAlignment="0" applyProtection="0"/>
    <xf numFmtId="43" fontId="2" fillId="0" borderId="0" applyFont="0" applyFill="0" applyBorder="0" applyAlignment="0" applyProtection="0"/>
    <xf numFmtId="43" fontId="172" fillId="0" borderId="0" applyFont="0" applyFill="0" applyBorder="0" applyAlignment="0" applyProtection="0"/>
    <xf numFmtId="44" fontId="175"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0" fontId="2" fillId="0" borderId="0"/>
    <xf numFmtId="0" fontId="2" fillId="0" borderId="0"/>
    <xf numFmtId="172" fontId="172" fillId="0" borderId="0" applyProtection="0"/>
    <xf numFmtId="43" fontId="2" fillId="0" borderId="0" applyFont="0" applyFill="0" applyBorder="0" applyAlignment="0" applyProtection="0"/>
    <xf numFmtId="0" fontId="5" fillId="0" borderId="0"/>
    <xf numFmtId="172" fontId="6" fillId="0" borderId="0" applyProtection="0"/>
    <xf numFmtId="172" fontId="6" fillId="0" borderId="0" applyProtection="0"/>
    <xf numFmtId="43" fontId="6" fillId="0" borderId="0" applyFont="0" applyFill="0" applyBorder="0" applyAlignment="0" applyProtection="0"/>
    <xf numFmtId="0" fontId="1" fillId="0" borderId="0"/>
    <xf numFmtId="9" fontId="6" fillId="0" borderId="0" applyFont="0" applyFill="0" applyBorder="0" applyAlignment="0" applyProtection="0"/>
    <xf numFmtId="43" fontId="172" fillId="0" borderId="0" applyFont="0" applyFill="0" applyBorder="0" applyAlignment="0" applyProtection="0"/>
  </cellStyleXfs>
  <cellXfs count="1303">
    <xf numFmtId="0" fontId="0" fillId="0" borderId="0" xfId="0"/>
    <xf numFmtId="0" fontId="0" fillId="0" borderId="0" xfId="0" applyAlignment="1">
      <alignment horizontal="center"/>
    </xf>
    <xf numFmtId="0" fontId="8" fillId="0" borderId="0" xfId="0" applyFont="1"/>
    <xf numFmtId="3" fontId="8" fillId="0" borderId="0" xfId="0" applyNumberFormat="1" applyFont="1" applyAlignment="1">
      <alignment horizontal="center"/>
    </xf>
    <xf numFmtId="0" fontId="15" fillId="0" borderId="0" xfId="0" applyFont="1"/>
    <xf numFmtId="0" fontId="12" fillId="0" borderId="0" xfId="249" applyFont="1" applyAlignment="1">
      <alignment horizontal="center"/>
    </xf>
    <xf numFmtId="0" fontId="18" fillId="0" borderId="0" xfId="249" applyFont="1"/>
    <xf numFmtId="9" fontId="12" fillId="0" borderId="0" xfId="249" quotePrefix="1" applyNumberFormat="1" applyFont="1" applyAlignment="1">
      <alignment horizontal="center"/>
    </xf>
    <xf numFmtId="0" fontId="20" fillId="0" borderId="0" xfId="249" applyFont="1" applyAlignment="1">
      <alignment horizontal="right"/>
    </xf>
    <xf numFmtId="0" fontId="20" fillId="0" borderId="0" xfId="249" applyFont="1" applyAlignment="1">
      <alignment horizontal="center"/>
    </xf>
    <xf numFmtId="9" fontId="12" fillId="0" borderId="0" xfId="249" applyNumberFormat="1" applyFont="1" applyAlignment="1">
      <alignment horizontal="center"/>
    </xf>
    <xf numFmtId="0" fontId="21" fillId="0" borderId="0" xfId="0" applyFont="1" applyAlignment="1">
      <alignment horizontal="right"/>
    </xf>
    <xf numFmtId="0" fontId="0" fillId="0" borderId="0" xfId="0" applyAlignment="1">
      <alignment wrapText="1"/>
    </xf>
    <xf numFmtId="0" fontId="7" fillId="0" borderId="0" xfId="0" applyFont="1"/>
    <xf numFmtId="0" fontId="18" fillId="0" borderId="0" xfId="0" applyFont="1"/>
    <xf numFmtId="0" fontId="21" fillId="0" borderId="0" xfId="0" applyFont="1"/>
    <xf numFmtId="0" fontId="7" fillId="0" borderId="0" xfId="0" applyFont="1" applyAlignment="1">
      <alignment wrapText="1"/>
    </xf>
    <xf numFmtId="0" fontId="15" fillId="0" borderId="0" xfId="249" applyFont="1"/>
    <xf numFmtId="41" fontId="15" fillId="0" borderId="0" xfId="249" applyNumberFormat="1" applyFont="1"/>
    <xf numFmtId="0" fontId="18" fillId="0" borderId="0" xfId="249" applyFont="1" applyAlignment="1">
      <alignment horizontal="left"/>
    </xf>
    <xf numFmtId="3" fontId="15" fillId="0" borderId="0" xfId="0" applyNumberFormat="1" applyFont="1"/>
    <xf numFmtId="0" fontId="8" fillId="0" borderId="0" xfId="249" applyFont="1" applyAlignment="1">
      <alignment horizontal="right"/>
    </xf>
    <xf numFmtId="40" fontId="15" fillId="0" borderId="0" xfId="0" applyNumberFormat="1" applyFont="1"/>
    <xf numFmtId="0" fontId="8" fillId="0" borderId="0" xfId="249" applyFont="1"/>
    <xf numFmtId="0" fontId="12" fillId="0" borderId="0" xfId="249" applyFont="1" applyAlignment="1">
      <alignment horizontal="left"/>
    </xf>
    <xf numFmtId="0" fontId="12" fillId="0" borderId="0" xfId="249" applyFont="1"/>
    <xf numFmtId="0" fontId="15" fillId="0" borderId="0" xfId="249" applyFont="1" applyAlignment="1">
      <alignment horizontal="left"/>
    </xf>
    <xf numFmtId="0" fontId="9" fillId="0" borderId="0" xfId="249" applyFont="1" applyAlignment="1">
      <alignment horizontal="center"/>
    </xf>
    <xf numFmtId="37" fontId="8" fillId="0" borderId="0" xfId="0" applyNumberFormat="1" applyFont="1"/>
    <xf numFmtId="0" fontId="29" fillId="0" borderId="0" xfId="0" applyFont="1"/>
    <xf numFmtId="0" fontId="8" fillId="0" borderId="0" xfId="0" applyFont="1" applyAlignment="1">
      <alignment horizontal="center"/>
    </xf>
    <xf numFmtId="37" fontId="8" fillId="0" borderId="0" xfId="0" applyNumberFormat="1" applyFont="1" applyAlignment="1">
      <alignment horizontal="center"/>
    </xf>
    <xf numFmtId="10" fontId="8" fillId="0" borderId="0" xfId="0" applyNumberFormat="1" applyFont="1"/>
    <xf numFmtId="176" fontId="8" fillId="0" borderId="0" xfId="0" applyNumberFormat="1" applyFont="1"/>
    <xf numFmtId="3" fontId="22" fillId="0" borderId="0" xfId="0" applyNumberFormat="1" applyFont="1"/>
    <xf numFmtId="41" fontId="30" fillId="0" borderId="0" xfId="249" applyNumberFormat="1" applyFont="1"/>
    <xf numFmtId="0" fontId="31" fillId="0" borderId="0" xfId="249" applyFont="1" applyAlignment="1">
      <alignment horizontal="left"/>
    </xf>
    <xf numFmtId="0" fontId="29" fillId="0" borderId="0" xfId="249" applyFont="1"/>
    <xf numFmtId="41" fontId="29" fillId="0" borderId="0" xfId="249" applyNumberFormat="1" applyFont="1" applyAlignment="1">
      <alignment vertical="top"/>
    </xf>
    <xf numFmtId="181" fontId="29" fillId="0" borderId="0" xfId="249" applyNumberFormat="1" applyFont="1"/>
    <xf numFmtId="41" fontId="29" fillId="0" borderId="0" xfId="249" applyNumberFormat="1" applyFont="1"/>
    <xf numFmtId="0" fontId="29" fillId="0" borderId="0" xfId="249" applyFont="1" applyAlignment="1">
      <alignment horizontal="left"/>
    </xf>
    <xf numFmtId="0" fontId="32" fillId="0" borderId="0" xfId="249" applyFont="1"/>
    <xf numFmtId="0" fontId="29" fillId="0" borderId="0" xfId="249" applyFont="1" applyAlignment="1">
      <alignment horizontal="center"/>
    </xf>
    <xf numFmtId="0" fontId="13" fillId="0" borderId="0" xfId="249" applyFont="1" applyAlignment="1">
      <alignment horizontal="center"/>
    </xf>
    <xf numFmtId="173" fontId="29" fillId="0" borderId="0" xfId="249" applyNumberFormat="1" applyFont="1"/>
    <xf numFmtId="173" fontId="29" fillId="0" borderId="0" xfId="249" applyNumberFormat="1" applyFont="1" applyAlignment="1">
      <alignment vertical="top"/>
    </xf>
    <xf numFmtId="41" fontId="29" fillId="0" borderId="13" xfId="249" applyNumberFormat="1" applyFont="1" applyBorder="1"/>
    <xf numFmtId="173" fontId="9" fillId="0" borderId="0" xfId="86" applyNumberFormat="1" applyFont="1" applyFill="1" applyAlignment="1">
      <alignment horizontal="center"/>
    </xf>
    <xf numFmtId="0" fontId="8" fillId="0" borderId="0" xfId="249" applyFont="1" applyAlignment="1">
      <alignment horizontal="center"/>
    </xf>
    <xf numFmtId="0" fontId="33" fillId="0" borderId="0" xfId="249" applyFont="1"/>
    <xf numFmtId="41" fontId="8" fillId="0" borderId="13" xfId="249" applyNumberFormat="1" applyFont="1" applyBorder="1"/>
    <xf numFmtId="38" fontId="15" fillId="0" borderId="0" xfId="0" applyNumberFormat="1" applyFont="1"/>
    <xf numFmtId="43" fontId="8" fillId="0" borderId="0" xfId="249" applyNumberFormat="1" applyFont="1"/>
    <xf numFmtId="3" fontId="8" fillId="0" borderId="0" xfId="0" applyNumberFormat="1" applyFont="1"/>
    <xf numFmtId="41" fontId="30" fillId="25" borderId="0" xfId="249" applyNumberFormat="1" applyFont="1" applyFill="1"/>
    <xf numFmtId="0" fontId="10" fillId="0" borderId="0" xfId="211" applyFont="1" applyAlignment="1">
      <alignment horizontal="left"/>
    </xf>
    <xf numFmtId="0" fontId="15" fillId="0" borderId="0" xfId="211"/>
    <xf numFmtId="0" fontId="15" fillId="0" borderId="0" xfId="211" applyAlignment="1">
      <alignment horizontal="center"/>
    </xf>
    <xf numFmtId="0" fontId="15" fillId="0" borderId="0" xfId="211" applyAlignment="1">
      <alignment horizontal="left"/>
    </xf>
    <xf numFmtId="0" fontId="12" fillId="0" borderId="0" xfId="211" applyFont="1" applyAlignment="1">
      <alignment horizontal="left"/>
    </xf>
    <xf numFmtId="0" fontId="15" fillId="0" borderId="0" xfId="211" applyAlignment="1">
      <alignment horizontal="center" wrapText="1"/>
    </xf>
    <xf numFmtId="3" fontId="15" fillId="0" borderId="0" xfId="211" applyNumberFormat="1"/>
    <xf numFmtId="173" fontId="15" fillId="0" borderId="0" xfId="89" applyNumberFormat="1" applyFont="1" applyFill="1" applyBorder="1" applyAlignment="1">
      <alignment horizontal="right"/>
    </xf>
    <xf numFmtId="0" fontId="11" fillId="0" borderId="0" xfId="211" applyFont="1"/>
    <xf numFmtId="0" fontId="12" fillId="0" borderId="0" xfId="211" applyFont="1"/>
    <xf numFmtId="0" fontId="12" fillId="0" borderId="0" xfId="211" applyFont="1" applyAlignment="1">
      <alignment horizontal="center"/>
    </xf>
    <xf numFmtId="164" fontId="15" fillId="0" borderId="0" xfId="268" applyNumberFormat="1" applyFont="1" applyFill="1" applyBorder="1" applyAlignment="1"/>
    <xf numFmtId="173" fontId="15" fillId="0" borderId="0" xfId="89" applyNumberFormat="1" applyFont="1" applyFill="1" applyBorder="1" applyAlignment="1">
      <alignment horizontal="left"/>
    </xf>
    <xf numFmtId="3" fontId="15" fillId="0" borderId="0" xfId="211" applyNumberFormat="1" applyAlignment="1">
      <alignment horizontal="right"/>
    </xf>
    <xf numFmtId="3" fontId="15" fillId="0" borderId="0" xfId="211" applyNumberFormat="1" applyAlignment="1">
      <alignment horizontal="center"/>
    </xf>
    <xf numFmtId="0" fontId="0" fillId="0" borderId="0" xfId="0" applyAlignment="1">
      <alignment horizontal="center" wrapText="1"/>
    </xf>
    <xf numFmtId="0" fontId="35" fillId="0" borderId="0" xfId="0" applyFont="1"/>
    <xf numFmtId="0" fontId="22" fillId="0" borderId="0" xfId="249" applyFont="1"/>
    <xf numFmtId="0" fontId="20" fillId="0" borderId="0" xfId="211" applyFont="1" applyAlignment="1">
      <alignment horizontal="left"/>
    </xf>
    <xf numFmtId="173" fontId="15" fillId="0" borderId="14" xfId="89" applyNumberFormat="1" applyFont="1" applyFill="1" applyBorder="1" applyAlignment="1">
      <alignment horizontal="right"/>
    </xf>
    <xf numFmtId="0" fontId="15" fillId="0" borderId="0" xfId="249" applyFont="1" applyAlignment="1">
      <alignment horizontal="center"/>
    </xf>
    <xf numFmtId="0" fontId="8" fillId="0" borderId="0" xfId="211" applyFont="1" applyAlignment="1">
      <alignment horizontal="center"/>
    </xf>
    <xf numFmtId="49" fontId="8" fillId="0" borderId="0" xfId="249" applyNumberFormat="1" applyFont="1" applyAlignment="1">
      <alignment horizontal="center"/>
    </xf>
    <xf numFmtId="0" fontId="0" fillId="0" borderId="0" xfId="0" applyAlignment="1">
      <alignment horizontal="right"/>
    </xf>
    <xf numFmtId="3" fontId="13" fillId="0" borderId="0" xfId="0" applyNumberFormat="1" applyFont="1" applyAlignment="1">
      <alignment horizontal="center"/>
    </xf>
    <xf numFmtId="0" fontId="15" fillId="0" borderId="0" xfId="0" applyFont="1" applyAlignment="1">
      <alignment horizontal="center"/>
    </xf>
    <xf numFmtId="173" fontId="15" fillId="0" borderId="0" xfId="86" applyNumberFormat="1" applyFont="1"/>
    <xf numFmtId="10" fontId="15" fillId="0" borderId="0" xfId="0" applyNumberFormat="1" applyFont="1"/>
    <xf numFmtId="10" fontId="0" fillId="0" borderId="0" xfId="0" applyNumberFormat="1"/>
    <xf numFmtId="185" fontId="21" fillId="0" borderId="0" xfId="258" applyNumberFormat="1" applyFont="1"/>
    <xf numFmtId="0" fontId="74" fillId="0" borderId="0" xfId="258" applyFont="1"/>
    <xf numFmtId="185" fontId="21" fillId="0" borderId="0" xfId="258" applyNumberFormat="1" applyFont="1" applyAlignment="1">
      <alignment horizontal="center"/>
    </xf>
    <xf numFmtId="0" fontId="15" fillId="0" borderId="0" xfId="258" applyFont="1"/>
    <xf numFmtId="0" fontId="21" fillId="0" borderId="0" xfId="258" applyFont="1"/>
    <xf numFmtId="0" fontId="21" fillId="0" borderId="0" xfId="258" applyFont="1" applyAlignment="1">
      <alignment horizontal="center"/>
    </xf>
    <xf numFmtId="185" fontId="75" fillId="0" borderId="0" xfId="258" applyNumberFormat="1" applyFont="1"/>
    <xf numFmtId="0" fontId="76" fillId="0" borderId="0" xfId="258" applyFont="1"/>
    <xf numFmtId="173" fontId="74" fillId="0" borderId="0" xfId="258" applyNumberFormat="1" applyFont="1"/>
    <xf numFmtId="0" fontId="77" fillId="0" borderId="0" xfId="258" applyFont="1"/>
    <xf numFmtId="185" fontId="15" fillId="0" borderId="0" xfId="258" applyNumberFormat="1" applyFont="1"/>
    <xf numFmtId="0" fontId="78" fillId="0" borderId="0" xfId="255" applyFont="1" applyAlignment="1">
      <alignment horizontal="center"/>
    </xf>
    <xf numFmtId="0" fontId="78" fillId="0" borderId="0" xfId="255" applyFont="1" applyAlignment="1">
      <alignment horizontal="left" indent="2"/>
    </xf>
    <xf numFmtId="39" fontId="78" fillId="0" borderId="0" xfId="255" applyNumberFormat="1" applyFont="1"/>
    <xf numFmtId="0" fontId="15" fillId="0" borderId="0" xfId="258" applyFont="1" applyAlignment="1">
      <alignment horizontal="center"/>
    </xf>
    <xf numFmtId="43" fontId="74" fillId="0" borderId="0" xfId="86" applyFont="1"/>
    <xf numFmtId="173" fontId="79" fillId="0" borderId="0" xfId="258" applyNumberFormat="1" applyFont="1"/>
    <xf numFmtId="185" fontId="8" fillId="0" borderId="0" xfId="258" applyNumberFormat="1" applyFont="1"/>
    <xf numFmtId="43" fontId="79" fillId="0" borderId="0" xfId="86" applyFont="1"/>
    <xf numFmtId="43" fontId="8" fillId="0" borderId="0" xfId="86" applyFont="1"/>
    <xf numFmtId="173" fontId="79" fillId="0" borderId="0" xfId="86" applyNumberFormat="1" applyFont="1"/>
    <xf numFmtId="173" fontId="8" fillId="0" borderId="0" xfId="86" applyNumberFormat="1" applyFont="1"/>
    <xf numFmtId="173" fontId="74" fillId="0" borderId="14" xfId="86" applyNumberFormat="1" applyFont="1" applyBorder="1"/>
    <xf numFmtId="0" fontId="74" fillId="0" borderId="0" xfId="0" applyFont="1"/>
    <xf numFmtId="10" fontId="8" fillId="0" borderId="14" xfId="0" applyNumberFormat="1" applyFont="1" applyBorder="1"/>
    <xf numFmtId="0" fontId="82" fillId="0" borderId="0" xfId="258" applyFont="1" applyAlignment="1">
      <alignment horizontal="center"/>
    </xf>
    <xf numFmtId="173" fontId="0" fillId="0" borderId="0" xfId="86" applyNumberFormat="1" applyFont="1" applyFill="1"/>
    <xf numFmtId="173" fontId="0" fillId="0" borderId="0" xfId="0" applyNumberFormat="1"/>
    <xf numFmtId="0" fontId="12" fillId="0" borderId="0" xfId="249" applyFont="1" applyAlignment="1">
      <alignment horizontal="center" wrapText="1"/>
    </xf>
    <xf numFmtId="38" fontId="15" fillId="0" borderId="0" xfId="0" applyNumberFormat="1" applyFont="1" applyAlignment="1">
      <alignment horizontal="center"/>
    </xf>
    <xf numFmtId="0" fontId="5" fillId="0" borderId="0" xfId="249" applyAlignment="1">
      <alignment horizontal="left"/>
    </xf>
    <xf numFmtId="0" fontId="83" fillId="0" borderId="0" xfId="249" applyFont="1" applyAlignment="1">
      <alignment horizontal="left"/>
    </xf>
    <xf numFmtId="0" fontId="5" fillId="0" borderId="0" xfId="249"/>
    <xf numFmtId="0" fontId="83" fillId="0" borderId="0" xfId="249" applyFont="1"/>
    <xf numFmtId="0" fontId="72" fillId="0" borderId="0" xfId="249" applyFont="1" applyAlignment="1">
      <alignment horizontal="center"/>
    </xf>
    <xf numFmtId="0" fontId="84" fillId="0" borderId="0" xfId="211" applyFont="1" applyAlignment="1">
      <alignment horizontal="left"/>
    </xf>
    <xf numFmtId="38" fontId="15" fillId="0" borderId="0" xfId="211" applyNumberFormat="1" applyAlignment="1">
      <alignment horizontal="right"/>
    </xf>
    <xf numFmtId="0" fontId="15" fillId="0" borderId="0" xfId="211" applyAlignment="1">
      <alignment horizontal="right"/>
    </xf>
    <xf numFmtId="38" fontId="15" fillId="0" borderId="0" xfId="0" applyNumberFormat="1" applyFont="1" applyAlignment="1">
      <alignment horizontal="right"/>
    </xf>
    <xf numFmtId="0" fontId="7" fillId="0" borderId="0" xfId="0" applyFont="1" applyAlignment="1">
      <alignment horizontal="center"/>
    </xf>
    <xf numFmtId="0" fontId="7" fillId="0" borderId="0" xfId="211" applyFont="1" applyAlignment="1">
      <alignment horizontal="center"/>
    </xf>
    <xf numFmtId="38" fontId="11" fillId="0" borderId="0" xfId="211" applyNumberFormat="1" applyFont="1"/>
    <xf numFmtId="173" fontId="11" fillId="0" borderId="14" xfId="86" applyNumberFormat="1" applyFont="1" applyFill="1" applyBorder="1" applyAlignment="1"/>
    <xf numFmtId="0" fontId="15" fillId="0" borderId="14" xfId="211" applyBorder="1" applyAlignment="1">
      <alignment horizontal="left"/>
    </xf>
    <xf numFmtId="41" fontId="74" fillId="0" borderId="0" xfId="258" applyNumberFormat="1" applyFont="1"/>
    <xf numFmtId="10" fontId="74" fillId="0" borderId="11" xfId="266" applyNumberFormat="1" applyFont="1" applyFill="1" applyBorder="1"/>
    <xf numFmtId="173" fontId="74" fillId="0" borderId="0" xfId="86" applyNumberFormat="1" applyFont="1" applyFill="1"/>
    <xf numFmtId="3" fontId="7" fillId="0" borderId="0" xfId="0" applyNumberFormat="1" applyFont="1" applyAlignment="1">
      <alignment horizontal="center"/>
    </xf>
    <xf numFmtId="10" fontId="15" fillId="0" borderId="0" xfId="266" applyNumberFormat="1" applyFont="1" applyAlignment="1">
      <alignment horizontal="right"/>
    </xf>
    <xf numFmtId="0" fontId="12" fillId="0" borderId="0" xfId="0" applyFont="1" applyAlignment="1">
      <alignment horizontal="center" wrapText="1"/>
    </xf>
    <xf numFmtId="0" fontId="12" fillId="0" borderId="0" xfId="0" applyFont="1" applyAlignment="1">
      <alignment wrapText="1"/>
    </xf>
    <xf numFmtId="10" fontId="11" fillId="0" borderId="0" xfId="266" applyNumberFormat="1" applyFont="1"/>
    <xf numFmtId="174" fontId="5" fillId="0" borderId="0" xfId="117" applyNumberFormat="1"/>
    <xf numFmtId="0" fontId="7" fillId="0" borderId="0" xfId="0" applyFont="1" applyAlignment="1">
      <alignment horizontal="right"/>
    </xf>
    <xf numFmtId="0" fontId="15" fillId="0" borderId="0" xfId="0" applyFont="1" applyAlignment="1">
      <alignment horizontal="centerContinuous"/>
    </xf>
    <xf numFmtId="0" fontId="20" fillId="0" borderId="0" xfId="0" applyFont="1" applyAlignment="1">
      <alignment horizontal="center"/>
    </xf>
    <xf numFmtId="0" fontId="12" fillId="0" borderId="0" xfId="0" applyFont="1" applyAlignment="1">
      <alignment horizontal="center"/>
    </xf>
    <xf numFmtId="170" fontId="0" fillId="0" borderId="0" xfId="0" applyNumberFormat="1" applyAlignment="1">
      <alignment horizontal="right"/>
    </xf>
    <xf numFmtId="0" fontId="0" fillId="0" borderId="0" xfId="0" applyAlignment="1">
      <alignment horizontal="left"/>
    </xf>
    <xf numFmtId="6" fontId="0" fillId="0" borderId="0" xfId="0" applyNumberFormat="1" applyAlignment="1">
      <alignment horizontal="right"/>
    </xf>
    <xf numFmtId="0" fontId="20" fillId="0" borderId="0" xfId="0" applyFont="1" applyAlignment="1">
      <alignment horizontal="left"/>
    </xf>
    <xf numFmtId="0" fontId="7" fillId="0" borderId="0" xfId="0" applyFont="1" applyAlignment="1">
      <alignment horizontal="left"/>
    </xf>
    <xf numFmtId="0" fontId="20" fillId="0" borderId="0" xfId="0" applyFont="1" applyAlignment="1">
      <alignment horizontal="center" wrapText="1"/>
    </xf>
    <xf numFmtId="17" fontId="0" fillId="0" borderId="0" xfId="0" applyNumberFormat="1" applyAlignment="1">
      <alignment horizontal="center"/>
    </xf>
    <xf numFmtId="173" fontId="0" fillId="0" borderId="0" xfId="86" applyNumberFormat="1" applyFont="1"/>
    <xf numFmtId="173" fontId="15" fillId="0" borderId="0" xfId="211" applyNumberFormat="1"/>
    <xf numFmtId="0" fontId="15" fillId="25" borderId="0" xfId="211" applyFill="1" applyAlignment="1">
      <alignment horizontal="center"/>
    </xf>
    <xf numFmtId="0" fontId="12" fillId="25" borderId="0" xfId="211" applyFont="1" applyFill="1" applyAlignment="1">
      <alignment horizontal="left"/>
    </xf>
    <xf numFmtId="0" fontId="11" fillId="25" borderId="0" xfId="211" applyFont="1" applyFill="1"/>
    <xf numFmtId="0" fontId="15" fillId="25" borderId="0" xfId="211" applyFill="1" applyAlignment="1">
      <alignment horizontal="left"/>
    </xf>
    <xf numFmtId="0" fontId="15" fillId="25" borderId="0" xfId="211" applyFill="1"/>
    <xf numFmtId="173" fontId="15" fillId="25" borderId="0" xfId="89" applyNumberFormat="1" applyFont="1" applyFill="1" applyBorder="1" applyAlignment="1">
      <alignment horizontal="right"/>
    </xf>
    <xf numFmtId="0" fontId="0" fillId="25" borderId="0" xfId="0" applyFill="1"/>
    <xf numFmtId="164" fontId="15" fillId="25" borderId="0" xfId="268" applyNumberFormat="1" applyFont="1" applyFill="1" applyBorder="1" applyAlignment="1"/>
    <xf numFmtId="173" fontId="15" fillId="25" borderId="0" xfId="89" applyNumberFormat="1" applyFont="1" applyFill="1" applyBorder="1" applyAlignment="1">
      <alignment horizontal="left"/>
    </xf>
    <xf numFmtId="0" fontId="16" fillId="0" borderId="0" xfId="0" applyFont="1"/>
    <xf numFmtId="0" fontId="20" fillId="0" borderId="0" xfId="211" applyFont="1" applyAlignment="1">
      <alignment horizontal="center"/>
    </xf>
    <xf numFmtId="0" fontId="16" fillId="0" borderId="0" xfId="211" applyFont="1" applyAlignment="1">
      <alignment horizontal="left"/>
    </xf>
    <xf numFmtId="173" fontId="16" fillId="0" borderId="0" xfId="89" applyNumberFormat="1" applyFont="1" applyFill="1" applyBorder="1" applyAlignment="1">
      <alignment horizontal="right"/>
    </xf>
    <xf numFmtId="0" fontId="17" fillId="0" borderId="0" xfId="249" applyFont="1"/>
    <xf numFmtId="0" fontId="86" fillId="0" borderId="0" xfId="249" applyFont="1"/>
    <xf numFmtId="9" fontId="13" fillId="0" borderId="0" xfId="249" quotePrefix="1" applyNumberFormat="1" applyFont="1" applyAlignment="1">
      <alignment horizontal="center"/>
    </xf>
    <xf numFmtId="0" fontId="7" fillId="0" borderId="0" xfId="258" applyFont="1" applyAlignment="1">
      <alignment horizontal="center"/>
    </xf>
    <xf numFmtId="0" fontId="7" fillId="0" borderId="0" xfId="258" applyFont="1"/>
    <xf numFmtId="185" fontId="7" fillId="0" borderId="0" xfId="258" applyNumberFormat="1" applyFont="1" applyAlignment="1">
      <alignment horizontal="center"/>
    </xf>
    <xf numFmtId="0" fontId="12" fillId="0" borderId="0" xfId="258" applyFont="1"/>
    <xf numFmtId="0" fontId="7" fillId="0" borderId="11" xfId="258" applyFont="1" applyBorder="1" applyAlignment="1">
      <alignment horizontal="center"/>
    </xf>
    <xf numFmtId="185" fontId="7" fillId="0" borderId="11" xfId="258" applyNumberFormat="1" applyFont="1" applyBorder="1" applyAlignment="1">
      <alignment horizontal="center"/>
    </xf>
    <xf numFmtId="0" fontId="77" fillId="0" borderId="11" xfId="258" applyFont="1" applyBorder="1" applyAlignment="1">
      <alignment horizontal="center"/>
    </xf>
    <xf numFmtId="0" fontId="12" fillId="0" borderId="0" xfId="258" applyFont="1" applyAlignment="1">
      <alignment horizontal="center"/>
    </xf>
    <xf numFmtId="0" fontId="87" fillId="0" borderId="0" xfId="258" applyFont="1"/>
    <xf numFmtId="6" fontId="15" fillId="0" borderId="0" xfId="0" applyNumberFormat="1" applyFont="1" applyAlignment="1">
      <alignment horizontal="right"/>
    </xf>
    <xf numFmtId="0" fontId="12" fillId="0" borderId="0" xfId="0" applyFont="1" applyAlignment="1">
      <alignment horizontal="left"/>
    </xf>
    <xf numFmtId="173" fontId="89" fillId="0" borderId="0" xfId="86" applyNumberFormat="1" applyFont="1" applyFill="1"/>
    <xf numFmtId="173" fontId="74" fillId="0" borderId="0" xfId="86" applyNumberFormat="1" applyFont="1" applyFill="1" applyBorder="1"/>
    <xf numFmtId="9" fontId="74" fillId="0" borderId="0" xfId="266" applyFont="1" applyFill="1"/>
    <xf numFmtId="41" fontId="90" fillId="26" borderId="0" xfId="258" applyNumberFormat="1" applyFont="1" applyFill="1"/>
    <xf numFmtId="10" fontId="74" fillId="0" borderId="0" xfId="266" applyNumberFormat="1" applyFont="1" applyFill="1"/>
    <xf numFmtId="10" fontId="74" fillId="0" borderId="0" xfId="266" applyNumberFormat="1" applyFont="1" applyFill="1" applyBorder="1"/>
    <xf numFmtId="0" fontId="94" fillId="0" borderId="0" xfId="0" applyFont="1" applyAlignment="1">
      <alignment horizontal="center"/>
    </xf>
    <xf numFmtId="0" fontId="93" fillId="0" borderId="0" xfId="249" applyFont="1" applyAlignment="1">
      <alignment horizontal="center"/>
    </xf>
    <xf numFmtId="164" fontId="74" fillId="0" borderId="0" xfId="266" applyNumberFormat="1" applyFont="1" applyFill="1"/>
    <xf numFmtId="0" fontId="8" fillId="0" borderId="0" xfId="258" applyFont="1"/>
    <xf numFmtId="173" fontId="8" fillId="0" borderId="0" xfId="258" applyNumberFormat="1" applyFont="1"/>
    <xf numFmtId="164" fontId="0" fillId="0" borderId="0" xfId="266" applyNumberFormat="1" applyFont="1"/>
    <xf numFmtId="173" fontId="97" fillId="0" borderId="0" xfId="258" applyNumberFormat="1" applyFont="1"/>
    <xf numFmtId="0" fontId="26" fillId="0" borderId="0" xfId="249" applyFont="1" applyAlignment="1">
      <alignment horizontal="center"/>
    </xf>
    <xf numFmtId="37" fontId="15" fillId="0" borderId="0" xfId="211" applyNumberFormat="1" applyAlignment="1">
      <alignment horizontal="right"/>
    </xf>
    <xf numFmtId="37" fontId="11" fillId="0" borderId="0" xfId="211" applyNumberFormat="1" applyFont="1"/>
    <xf numFmtId="0" fontId="100" fillId="0" borderId="0" xfId="249" applyFont="1"/>
    <xf numFmtId="0" fontId="15" fillId="0" borderId="0" xfId="0" applyFont="1" applyAlignment="1">
      <alignment horizontal="center" wrapText="1"/>
    </xf>
    <xf numFmtId="0" fontId="35" fillId="0" borderId="0" xfId="0" applyFont="1" applyAlignment="1">
      <alignment wrapText="1"/>
    </xf>
    <xf numFmtId="0" fontId="35" fillId="0" borderId="0" xfId="0" applyFont="1" applyAlignment="1">
      <alignment horizontal="center" wrapText="1"/>
    </xf>
    <xf numFmtId="173" fontId="0" fillId="0" borderId="14" xfId="0" applyNumberFormat="1" applyBorder="1"/>
    <xf numFmtId="9" fontId="0" fillId="0" borderId="0" xfId="266" applyFont="1"/>
    <xf numFmtId="0" fontId="102" fillId="0" borderId="0" xfId="0" applyFont="1" applyAlignment="1">
      <alignment horizontal="center" wrapText="1"/>
    </xf>
    <xf numFmtId="0" fontId="21" fillId="0" borderId="0" xfId="255" applyFont="1" applyAlignment="1">
      <alignment horizontal="center"/>
    </xf>
    <xf numFmtId="0" fontId="35" fillId="0" borderId="0" xfId="249" applyFont="1" applyAlignment="1">
      <alignment horizontal="left"/>
    </xf>
    <xf numFmtId="0" fontId="35" fillId="0" borderId="0" xfId="249" applyFont="1"/>
    <xf numFmtId="0" fontId="104" fillId="0" borderId="0" xfId="249" applyFont="1" applyAlignment="1">
      <alignment horizontal="center"/>
    </xf>
    <xf numFmtId="0" fontId="105" fillId="0" borderId="0" xfId="249" applyFont="1"/>
    <xf numFmtId="189" fontId="106" fillId="0" borderId="0" xfId="211" applyNumberFormat="1" applyFont="1" applyAlignment="1">
      <alignment horizontal="center"/>
    </xf>
    <xf numFmtId="38" fontId="0" fillId="0" borderId="0" xfId="0" applyNumberFormat="1"/>
    <xf numFmtId="0" fontId="5" fillId="0" borderId="0" xfId="0" applyFont="1"/>
    <xf numFmtId="3" fontId="16" fillId="0" borderId="0" xfId="211" applyNumberFormat="1" applyFont="1" applyAlignment="1">
      <alignment horizontal="center"/>
    </xf>
    <xf numFmtId="0" fontId="107" fillId="0" borderId="0" xfId="258" applyFont="1"/>
    <xf numFmtId="41" fontId="107" fillId="0" borderId="0" xfId="258" applyNumberFormat="1" applyFont="1"/>
    <xf numFmtId="43" fontId="8" fillId="0" borderId="0" xfId="86" applyFont="1" applyAlignment="1">
      <alignment horizontal="center"/>
    </xf>
    <xf numFmtId="43" fontId="8" fillId="0" borderId="0" xfId="86" applyFont="1" applyBorder="1" applyAlignment="1">
      <alignment horizontal="center"/>
    </xf>
    <xf numFmtId="43" fontId="7" fillId="0" borderId="0" xfId="86" applyFont="1" applyBorder="1" applyAlignment="1">
      <alignment horizontal="center"/>
    </xf>
    <xf numFmtId="43" fontId="7" fillId="0" borderId="0" xfId="86" applyFont="1" applyAlignment="1">
      <alignment horizontal="center"/>
    </xf>
    <xf numFmtId="43" fontId="18" fillId="0" borderId="0" xfId="86" applyFont="1"/>
    <xf numFmtId="0" fontId="7" fillId="0" borderId="11" xfId="258" applyFont="1" applyBorder="1"/>
    <xf numFmtId="0" fontId="74" fillId="0" borderId="0" xfId="258" applyFont="1" applyAlignment="1">
      <alignment horizontal="center"/>
    </xf>
    <xf numFmtId="173" fontId="81" fillId="0" borderId="0" xfId="258" applyNumberFormat="1" applyFont="1"/>
    <xf numFmtId="3" fontId="81" fillId="0" borderId="0" xfId="258" applyNumberFormat="1" applyFont="1"/>
    <xf numFmtId="0" fontId="25" fillId="0" borderId="0" xfId="249" applyFont="1"/>
    <xf numFmtId="38" fontId="29" fillId="0" borderId="13" xfId="249" applyNumberFormat="1" applyFont="1" applyBorder="1" applyAlignment="1">
      <alignment horizontal="right"/>
    </xf>
    <xf numFmtId="0" fontId="35" fillId="0" borderId="0" xfId="249" applyFont="1" applyAlignment="1">
      <alignment horizontal="center"/>
    </xf>
    <xf numFmtId="0" fontId="78" fillId="0" borderId="0" xfId="258" applyFont="1"/>
    <xf numFmtId="10" fontId="6" fillId="0" borderId="0" xfId="259" applyNumberFormat="1"/>
    <xf numFmtId="10" fontId="6" fillId="0" borderId="15" xfId="259" applyNumberFormat="1" applyBorder="1"/>
    <xf numFmtId="193" fontId="6" fillId="0" borderId="15" xfId="259" applyNumberFormat="1" applyBorder="1"/>
    <xf numFmtId="176" fontId="6" fillId="0" borderId="15" xfId="259" applyNumberFormat="1" applyBorder="1"/>
    <xf numFmtId="192" fontId="6" fillId="0" borderId="15" xfId="259" applyNumberFormat="1" applyBorder="1"/>
    <xf numFmtId="195" fontId="6" fillId="0" borderId="0" xfId="259" applyNumberFormat="1"/>
    <xf numFmtId="176" fontId="6" fillId="0" borderId="0" xfId="259" applyNumberFormat="1"/>
    <xf numFmtId="192" fontId="6" fillId="0" borderId="0" xfId="259" applyNumberFormat="1"/>
    <xf numFmtId="10" fontId="120" fillId="0" borderId="0" xfId="259" applyNumberFormat="1" applyFont="1"/>
    <xf numFmtId="173" fontId="123" fillId="0" borderId="0" xfId="0" applyNumberFormat="1" applyFont="1"/>
    <xf numFmtId="0" fontId="110" fillId="0" borderId="0" xfId="211" applyFont="1" applyAlignment="1">
      <alignment horizontal="center"/>
    </xf>
    <xf numFmtId="0" fontId="102" fillId="0" borderId="0" xfId="211" applyFont="1" applyAlignment="1">
      <alignment horizontal="left"/>
    </xf>
    <xf numFmtId="0" fontId="35" fillId="0" borderId="0" xfId="211" applyFont="1" applyAlignment="1">
      <alignment horizontal="center"/>
    </xf>
    <xf numFmtId="0" fontId="35" fillId="0" borderId="0" xfId="211" applyFont="1" applyAlignment="1">
      <alignment horizontal="left"/>
    </xf>
    <xf numFmtId="0" fontId="35" fillId="0" borderId="0" xfId="211" applyFont="1"/>
    <xf numFmtId="3" fontId="35" fillId="0" borderId="0" xfId="211" applyNumberFormat="1" applyFont="1"/>
    <xf numFmtId="0" fontId="110" fillId="0" borderId="0" xfId="211" applyFont="1"/>
    <xf numFmtId="0" fontId="122" fillId="0" borderId="0" xfId="249" applyFont="1" applyAlignment="1">
      <alignment horizontal="center"/>
    </xf>
    <xf numFmtId="0" fontId="102" fillId="0" borderId="0" xfId="0" applyFont="1" applyAlignment="1">
      <alignment horizontal="center"/>
    </xf>
    <xf numFmtId="41" fontId="0" fillId="0" borderId="0" xfId="0" applyNumberFormat="1"/>
    <xf numFmtId="37" fontId="124" fillId="0" borderId="13" xfId="0" applyNumberFormat="1" applyFont="1" applyBorder="1"/>
    <xf numFmtId="0" fontId="29" fillId="0" borderId="0" xfId="0" applyFont="1" applyAlignment="1">
      <alignment horizontal="left"/>
    </xf>
    <xf numFmtId="41" fontId="29" fillId="0" borderId="11" xfId="249" applyNumberFormat="1" applyFont="1" applyBorder="1"/>
    <xf numFmtId="3" fontId="22" fillId="31" borderId="0" xfId="0" applyNumberFormat="1" applyFont="1" applyFill="1"/>
    <xf numFmtId="173" fontId="81" fillId="31" borderId="0" xfId="258" applyNumberFormat="1" applyFont="1" applyFill="1"/>
    <xf numFmtId="0" fontId="74" fillId="31" borderId="0" xfId="258" applyFont="1" applyFill="1" applyAlignment="1">
      <alignment horizontal="center"/>
    </xf>
    <xf numFmtId="174" fontId="0" fillId="0" borderId="0" xfId="117" applyNumberFormat="1" applyFont="1"/>
    <xf numFmtId="3" fontId="35" fillId="31" borderId="0" xfId="211" applyNumberFormat="1" applyFont="1" applyFill="1"/>
    <xf numFmtId="0" fontId="0" fillId="31" borderId="0" xfId="0" applyFill="1"/>
    <xf numFmtId="0" fontId="8" fillId="31" borderId="0" xfId="0" applyFont="1" applyFill="1"/>
    <xf numFmtId="10" fontId="15" fillId="0" borderId="0" xfId="266" applyNumberFormat="1" applyFont="1" applyFill="1"/>
    <xf numFmtId="174" fontId="0" fillId="0" borderId="0" xfId="0" applyNumberFormat="1"/>
    <xf numFmtId="10" fontId="74" fillId="31" borderId="0" xfId="266" applyNumberFormat="1" applyFont="1" applyFill="1"/>
    <xf numFmtId="41" fontId="74" fillId="31" borderId="0" xfId="258" applyNumberFormat="1" applyFont="1" applyFill="1"/>
    <xf numFmtId="0" fontId="74" fillId="31" borderId="0" xfId="258" applyFont="1" applyFill="1"/>
    <xf numFmtId="10" fontId="74" fillId="31" borderId="0" xfId="266" applyNumberFormat="1" applyFont="1" applyFill="1" applyBorder="1"/>
    <xf numFmtId="41" fontId="90" fillId="32" borderId="0" xfId="258" applyNumberFormat="1" applyFont="1" applyFill="1"/>
    <xf numFmtId="10" fontId="74" fillId="31" borderId="11" xfId="266" applyNumberFormat="1" applyFont="1" applyFill="1" applyBorder="1"/>
    <xf numFmtId="173" fontId="74" fillId="31" borderId="0" xfId="86" applyNumberFormat="1" applyFont="1" applyFill="1"/>
    <xf numFmtId="172" fontId="6" fillId="0" borderId="0" xfId="257" applyProtection="1"/>
    <xf numFmtId="172" fontId="8" fillId="0" borderId="0" xfId="257" applyFont="1" applyProtection="1"/>
    <xf numFmtId="0" fontId="9" fillId="0" borderId="0" xfId="257" applyNumberFormat="1" applyFont="1" applyAlignment="1" applyProtection="1">
      <alignment horizontal="left"/>
    </xf>
    <xf numFmtId="14" fontId="9" fillId="0" borderId="0" xfId="257" applyNumberFormat="1" applyFont="1" applyProtection="1"/>
    <xf numFmtId="172" fontId="9" fillId="0" borderId="0" xfId="257" applyFont="1" applyProtection="1"/>
    <xf numFmtId="0" fontId="8" fillId="0" borderId="0" xfId="257" applyNumberFormat="1" applyFont="1" applyProtection="1"/>
    <xf numFmtId="0" fontId="8" fillId="0" borderId="0" xfId="257" applyNumberFormat="1" applyFont="1" applyAlignment="1" applyProtection="1">
      <alignment horizontal="right"/>
    </xf>
    <xf numFmtId="0" fontId="22" fillId="0" borderId="0" xfId="86" applyNumberFormat="1" applyFont="1" applyFill="1" applyAlignment="1" applyProtection="1"/>
    <xf numFmtId="3" fontId="8" fillId="0" borderId="0" xfId="257" applyNumberFormat="1" applyFont="1" applyProtection="1"/>
    <xf numFmtId="0" fontId="6" fillId="0" borderId="0" xfId="257" applyNumberFormat="1" applyAlignment="1" applyProtection="1">
      <alignment horizontal="center"/>
    </xf>
    <xf numFmtId="0" fontId="8" fillId="0" borderId="0" xfId="257" applyNumberFormat="1" applyFont="1" applyAlignment="1" applyProtection="1">
      <alignment horizontal="center"/>
    </xf>
    <xf numFmtId="49" fontId="8" fillId="0" borderId="0" xfId="257" applyNumberFormat="1" applyFont="1" applyAlignment="1" applyProtection="1">
      <alignment horizontal="center"/>
    </xf>
    <xf numFmtId="3" fontId="24" fillId="0" borderId="0" xfId="0" applyNumberFormat="1" applyFont="1" applyAlignment="1">
      <alignment horizontal="center"/>
    </xf>
    <xf numFmtId="49" fontId="8" fillId="0" borderId="0" xfId="257" applyNumberFormat="1" applyFont="1" applyProtection="1"/>
    <xf numFmtId="39" fontId="8" fillId="0" borderId="0" xfId="86" applyNumberFormat="1" applyFont="1" applyAlignment="1" applyProtection="1">
      <alignment horizontal="center"/>
    </xf>
    <xf numFmtId="0" fontId="6" fillId="0" borderId="6" xfId="257" applyNumberFormat="1" applyBorder="1" applyAlignment="1" applyProtection="1">
      <alignment horizontal="center"/>
    </xf>
    <xf numFmtId="0" fontId="8" fillId="0" borderId="6" xfId="257" applyNumberFormat="1" applyFont="1" applyBorder="1" applyAlignment="1" applyProtection="1">
      <alignment horizontal="center"/>
    </xf>
    <xf numFmtId="0" fontId="8" fillId="0" borderId="0" xfId="257" applyNumberFormat="1" applyFont="1" applyAlignment="1" applyProtection="1">
      <alignment horizontal="left"/>
    </xf>
    <xf numFmtId="170" fontId="8" fillId="0" borderId="0" xfId="257" applyNumberFormat="1" applyFont="1" applyProtection="1"/>
    <xf numFmtId="3" fontId="8" fillId="0" borderId="0" xfId="257" applyNumberFormat="1" applyFont="1" applyAlignment="1" applyProtection="1">
      <alignment horizontal="left"/>
    </xf>
    <xf numFmtId="0" fontId="8" fillId="0" borderId="6" xfId="257" applyNumberFormat="1" applyFont="1" applyBorder="1" applyAlignment="1" applyProtection="1">
      <alignment horizontal="centerContinuous"/>
    </xf>
    <xf numFmtId="41" fontId="8" fillId="0" borderId="0" xfId="257" applyNumberFormat="1" applyFont="1" applyProtection="1"/>
    <xf numFmtId="3" fontId="8" fillId="0" borderId="0" xfId="257" applyNumberFormat="1" applyFont="1" applyAlignment="1" applyProtection="1">
      <alignment horizontal="center"/>
    </xf>
    <xf numFmtId="165" fontId="8" fillId="0" borderId="0" xfId="257" applyNumberFormat="1" applyFont="1" applyAlignment="1" applyProtection="1">
      <alignment horizontal="right"/>
    </xf>
    <xf numFmtId="42" fontId="8" fillId="0" borderId="0" xfId="257" applyNumberFormat="1" applyFont="1" applyProtection="1"/>
    <xf numFmtId="172" fontId="8" fillId="0" borderId="11" xfId="257" applyFont="1" applyBorder="1" applyProtection="1"/>
    <xf numFmtId="0" fontId="8" fillId="0" borderId="0" xfId="0" applyFont="1" applyAlignment="1">
      <alignment wrapText="1"/>
    </xf>
    <xf numFmtId="174" fontId="8" fillId="0" borderId="14" xfId="257" applyNumberFormat="1" applyFont="1" applyBorder="1" applyProtection="1"/>
    <xf numFmtId="172" fontId="80" fillId="0" borderId="0" xfId="257" applyFont="1" applyAlignment="1" applyProtection="1">
      <alignment horizontal="center" wrapText="1"/>
    </xf>
    <xf numFmtId="43" fontId="8" fillId="0" borderId="0" xfId="86" applyFont="1" applyProtection="1"/>
    <xf numFmtId="171" fontId="8" fillId="0" borderId="0" xfId="257" applyNumberFormat="1" applyFont="1" applyProtection="1"/>
    <xf numFmtId="10" fontId="8" fillId="0" borderId="0" xfId="257" applyNumberFormat="1" applyFont="1" applyProtection="1"/>
    <xf numFmtId="10" fontId="8" fillId="0" borderId="0" xfId="266" applyNumberFormat="1" applyFont="1" applyAlignment="1" applyProtection="1"/>
    <xf numFmtId="186" fontId="8" fillId="0" borderId="0" xfId="257" applyNumberFormat="1" applyFont="1" applyProtection="1"/>
    <xf numFmtId="43" fontId="8" fillId="0" borderId="0" xfId="86" applyFont="1" applyAlignment="1" applyProtection="1"/>
    <xf numFmtId="41" fontId="8" fillId="0" borderId="0" xfId="257" applyNumberFormat="1" applyFont="1" applyAlignment="1" applyProtection="1">
      <alignment horizontal="center"/>
    </xf>
    <xf numFmtId="41" fontId="8" fillId="0" borderId="14" xfId="257" applyNumberFormat="1" applyFont="1" applyBorder="1" applyAlignment="1" applyProtection="1">
      <alignment horizontal="center"/>
    </xf>
    <xf numFmtId="41" fontId="8" fillId="0" borderId="0" xfId="257" applyNumberFormat="1" applyFont="1" applyAlignment="1" applyProtection="1">
      <alignment horizontal="right"/>
    </xf>
    <xf numFmtId="42" fontId="8" fillId="0" borderId="0" xfId="266" applyNumberFormat="1" applyFont="1" applyAlignment="1" applyProtection="1"/>
    <xf numFmtId="43" fontId="8" fillId="0" borderId="0" xfId="257" applyNumberFormat="1" applyFont="1" applyAlignment="1" applyProtection="1">
      <alignment horizontal="right"/>
    </xf>
    <xf numFmtId="172" fontId="8" fillId="0" borderId="0" xfId="257" applyFont="1" applyAlignment="1" applyProtection="1">
      <alignment horizontal="right"/>
    </xf>
    <xf numFmtId="0" fontId="35" fillId="0" borderId="0" xfId="0" applyFont="1" applyAlignment="1">
      <alignment horizontal="center"/>
    </xf>
    <xf numFmtId="49" fontId="8" fillId="0" borderId="0" xfId="257" applyNumberFormat="1" applyFont="1" applyAlignment="1" applyProtection="1">
      <alignment horizontal="left"/>
    </xf>
    <xf numFmtId="0" fontId="6" fillId="0" borderId="0" xfId="257" applyNumberFormat="1" applyAlignment="1" applyProtection="1">
      <alignment horizontal="center" vertical="center"/>
    </xf>
    <xf numFmtId="3" fontId="9" fillId="0" borderId="0" xfId="257" applyNumberFormat="1" applyFont="1" applyAlignment="1" applyProtection="1">
      <alignment horizontal="center"/>
    </xf>
    <xf numFmtId="172" fontId="9" fillId="0" borderId="0" xfId="257" applyFont="1" applyAlignment="1" applyProtection="1">
      <alignment horizontal="center"/>
    </xf>
    <xf numFmtId="49" fontId="9" fillId="0" borderId="0" xfId="257" applyNumberFormat="1" applyFont="1" applyAlignment="1" applyProtection="1">
      <alignment horizontal="center"/>
    </xf>
    <xf numFmtId="0" fontId="13" fillId="0" borderId="0" xfId="257" applyNumberFormat="1" applyFont="1" applyAlignment="1" applyProtection="1">
      <alignment horizontal="center"/>
    </xf>
    <xf numFmtId="172" fontId="13" fillId="0" borderId="0" xfId="257" applyFont="1" applyAlignment="1" applyProtection="1">
      <alignment horizontal="center"/>
    </xf>
    <xf numFmtId="3" fontId="9" fillId="0" borderId="0" xfId="257" applyNumberFormat="1" applyFont="1" applyProtection="1"/>
    <xf numFmtId="173" fontId="8" fillId="0" borderId="0" xfId="86" applyNumberFormat="1" applyFont="1" applyFill="1" applyAlignment="1" applyProtection="1"/>
    <xf numFmtId="0" fontId="8" fillId="0" borderId="0" xfId="257" applyNumberFormat="1" applyFont="1" applyAlignment="1" applyProtection="1">
      <alignment vertical="center"/>
    </xf>
    <xf numFmtId="3" fontId="8" fillId="0" borderId="0" xfId="257" applyNumberFormat="1" applyFont="1" applyAlignment="1" applyProtection="1">
      <alignment vertical="center" wrapText="1"/>
    </xf>
    <xf numFmtId="3" fontId="8" fillId="0" borderId="0" xfId="257" applyNumberFormat="1" applyFont="1" applyAlignment="1" applyProtection="1">
      <alignment horizontal="center" vertical="center"/>
    </xf>
    <xf numFmtId="3" fontId="8" fillId="0" borderId="0" xfId="257" applyNumberFormat="1" applyFont="1" applyAlignment="1" applyProtection="1">
      <alignment vertical="center"/>
    </xf>
    <xf numFmtId="41" fontId="8" fillId="0" borderId="0" xfId="257" applyNumberFormat="1" applyFont="1" applyAlignment="1" applyProtection="1">
      <alignment vertical="center"/>
    </xf>
    <xf numFmtId="41" fontId="8" fillId="0" borderId="6" xfId="257" applyNumberFormat="1" applyFont="1" applyBorder="1" applyProtection="1"/>
    <xf numFmtId="178" fontId="9" fillId="0" borderId="0" xfId="257" applyNumberFormat="1" applyFont="1" applyAlignment="1" applyProtection="1">
      <alignment horizontal="right"/>
    </xf>
    <xf numFmtId="182" fontId="9" fillId="0" borderId="0" xfId="86" applyNumberFormat="1" applyFont="1" applyFill="1" applyAlignment="1" applyProtection="1"/>
    <xf numFmtId="178" fontId="8" fillId="0" borderId="0" xfId="257" applyNumberFormat="1" applyFont="1" applyProtection="1"/>
    <xf numFmtId="184" fontId="8" fillId="0" borderId="0" xfId="257" applyNumberFormat="1" applyFont="1" applyProtection="1"/>
    <xf numFmtId="183" fontId="8" fillId="0" borderId="0" xfId="257" applyNumberFormat="1" applyFont="1" applyProtection="1"/>
    <xf numFmtId="165" fontId="8" fillId="0" borderId="0" xfId="257" applyNumberFormat="1" applyFont="1" applyProtection="1"/>
    <xf numFmtId="0" fontId="8" fillId="0" borderId="0" xfId="257" applyNumberFormat="1" applyFont="1" applyAlignment="1" applyProtection="1">
      <alignment horizontal="center" vertical="center"/>
    </xf>
    <xf numFmtId="164" fontId="8" fillId="0" borderId="0" xfId="257" applyNumberFormat="1" applyFont="1" applyAlignment="1" applyProtection="1">
      <alignment horizontal="center"/>
    </xf>
    <xf numFmtId="177" fontId="8" fillId="0" borderId="0" xfId="86" applyNumberFormat="1" applyFont="1" applyFill="1" applyAlignment="1" applyProtection="1">
      <alignment horizontal="center"/>
    </xf>
    <xf numFmtId="3" fontId="9" fillId="0" borderId="0" xfId="257" applyNumberFormat="1" applyFont="1" applyAlignment="1" applyProtection="1">
      <alignment horizontal="right"/>
    </xf>
    <xf numFmtId="182" fontId="8" fillId="0" borderId="0" xfId="86" applyNumberFormat="1" applyFont="1" applyFill="1" applyAlignment="1" applyProtection="1"/>
    <xf numFmtId="164" fontId="8" fillId="0" borderId="0" xfId="257" applyNumberFormat="1" applyFont="1" applyAlignment="1" applyProtection="1">
      <alignment horizontal="left"/>
    </xf>
    <xf numFmtId="10" fontId="8" fillId="0" borderId="0" xfId="266" applyNumberFormat="1" applyFont="1" applyFill="1" applyAlignment="1" applyProtection="1"/>
    <xf numFmtId="175" fontId="8" fillId="0" borderId="0" xfId="257" applyNumberFormat="1" applyFont="1" applyProtection="1"/>
    <xf numFmtId="41" fontId="8" fillId="0" borderId="0" xfId="257" applyNumberFormat="1" applyFont="1" applyAlignment="1" applyProtection="1">
      <alignment horizontal="center" vertical="center"/>
    </xf>
    <xf numFmtId="0" fontId="92" fillId="0" borderId="0" xfId="257" applyNumberFormat="1" applyFont="1" applyAlignment="1" applyProtection="1">
      <alignment horizontal="center"/>
    </xf>
    <xf numFmtId="3" fontId="8" fillId="0" borderId="0" xfId="257" applyNumberFormat="1" applyFont="1" applyAlignment="1" applyProtection="1">
      <alignment horizontal="right"/>
    </xf>
    <xf numFmtId="172" fontId="8" fillId="0" borderId="0" xfId="257" applyFont="1" applyAlignment="1" applyProtection="1">
      <alignment horizontal="center"/>
    </xf>
    <xf numFmtId="0" fontId="9" fillId="0" borderId="0" xfId="257" applyNumberFormat="1" applyFont="1" applyAlignment="1" applyProtection="1">
      <alignment horizontal="center"/>
    </xf>
    <xf numFmtId="3" fontId="13" fillId="0" borderId="0" xfId="257" applyNumberFormat="1" applyFont="1" applyAlignment="1" applyProtection="1">
      <alignment horizontal="center"/>
    </xf>
    <xf numFmtId="3" fontId="13" fillId="0" borderId="0" xfId="257" applyNumberFormat="1" applyFont="1" applyProtection="1"/>
    <xf numFmtId="43" fontId="15" fillId="0" borderId="0" xfId="86" applyFont="1" applyAlignment="1" applyProtection="1"/>
    <xf numFmtId="3" fontId="101" fillId="0" borderId="0" xfId="257" applyNumberFormat="1" applyFont="1" applyAlignment="1" applyProtection="1">
      <alignment horizontal="right"/>
    </xf>
    <xf numFmtId="41" fontId="101" fillId="0" borderId="0" xfId="257" applyNumberFormat="1" applyFont="1" applyAlignment="1" applyProtection="1">
      <alignment horizontal="right"/>
    </xf>
    <xf numFmtId="43" fontId="8" fillId="0" borderId="0" xfId="266" applyNumberFormat="1" applyFont="1" applyFill="1" applyAlignment="1" applyProtection="1"/>
    <xf numFmtId="166" fontId="8" fillId="0" borderId="0" xfId="257" applyNumberFormat="1" applyFont="1" applyProtection="1"/>
    <xf numFmtId="167" fontId="8" fillId="0" borderId="0" xfId="257" applyNumberFormat="1" applyFont="1" applyProtection="1"/>
    <xf numFmtId="172" fontId="26" fillId="0" borderId="0" xfId="257" applyFont="1" applyProtection="1"/>
    <xf numFmtId="168" fontId="8" fillId="0" borderId="0" xfId="257" applyNumberFormat="1" applyFont="1" applyProtection="1"/>
    <xf numFmtId="10" fontId="8" fillId="0" borderId="0" xfId="257" applyNumberFormat="1" applyFont="1" applyAlignment="1" applyProtection="1">
      <alignment horizontal="right"/>
    </xf>
    <xf numFmtId="10" fontId="35" fillId="0" borderId="0" xfId="266" applyNumberFormat="1" applyFont="1" applyProtection="1"/>
    <xf numFmtId="3" fontId="26" fillId="0" borderId="0" xfId="257" applyNumberFormat="1" applyFont="1" applyProtection="1"/>
    <xf numFmtId="166" fontId="8" fillId="0" borderId="0" xfId="257" applyNumberFormat="1" applyFont="1" applyAlignment="1" applyProtection="1">
      <alignment horizontal="center"/>
    </xf>
    <xf numFmtId="187" fontId="26" fillId="0" borderId="0" xfId="257" applyNumberFormat="1" applyFont="1" applyAlignment="1" applyProtection="1">
      <alignment horizontal="center"/>
    </xf>
    <xf numFmtId="188" fontId="8" fillId="0" borderId="0" xfId="257" applyNumberFormat="1" applyFont="1" applyProtection="1"/>
    <xf numFmtId="179" fontId="8" fillId="0" borderId="0" xfId="257" applyNumberFormat="1" applyFont="1" applyAlignment="1" applyProtection="1">
      <alignment horizontal="right"/>
    </xf>
    <xf numFmtId="186" fontId="8" fillId="0" borderId="0" xfId="86" applyNumberFormat="1" applyFont="1" applyAlignment="1" applyProtection="1">
      <alignment horizontal="center"/>
    </xf>
    <xf numFmtId="41" fontId="26" fillId="0" borderId="0" xfId="257" applyNumberFormat="1" applyFont="1" applyProtection="1"/>
    <xf numFmtId="43" fontId="26" fillId="0" borderId="0" xfId="86" applyFont="1" applyAlignment="1" applyProtection="1"/>
    <xf numFmtId="179" fontId="8" fillId="0" borderId="0" xfId="257" applyNumberFormat="1" applyFont="1" applyAlignment="1" applyProtection="1">
      <alignment horizontal="center"/>
    </xf>
    <xf numFmtId="10" fontId="8" fillId="0" borderId="0" xfId="257" applyNumberFormat="1" applyFont="1" applyAlignment="1" applyProtection="1">
      <alignment horizontal="left"/>
    </xf>
    <xf numFmtId="187" fontId="8" fillId="0" borderId="0" xfId="257" applyNumberFormat="1" applyFont="1" applyAlignment="1" applyProtection="1">
      <alignment horizontal="center"/>
    </xf>
    <xf numFmtId="168" fontId="8" fillId="0" borderId="0" xfId="257" applyNumberFormat="1" applyFont="1" applyAlignment="1" applyProtection="1">
      <alignment horizontal="left"/>
    </xf>
    <xf numFmtId="41" fontId="8" fillId="0" borderId="11" xfId="257" applyNumberFormat="1" applyFont="1" applyBorder="1" applyProtection="1"/>
    <xf numFmtId="179" fontId="8" fillId="0" borderId="0" xfId="257" applyNumberFormat="1" applyFont="1" applyProtection="1"/>
    <xf numFmtId="164" fontId="8" fillId="0" borderId="0" xfId="257" applyNumberFormat="1" applyFont="1" applyAlignment="1" applyProtection="1">
      <alignment horizontal="left" vertical="center"/>
    </xf>
    <xf numFmtId="180" fontId="8" fillId="0" borderId="0" xfId="257" applyNumberFormat="1" applyFont="1" applyProtection="1"/>
    <xf numFmtId="173" fontId="8" fillId="0" borderId="14" xfId="86" applyNumberFormat="1" applyFont="1" applyBorder="1" applyAlignment="1" applyProtection="1"/>
    <xf numFmtId="0" fontId="9" fillId="0" borderId="0" xfId="257" applyNumberFormat="1" applyFont="1" applyProtection="1"/>
    <xf numFmtId="0" fontId="8" fillId="0" borderId="0" xfId="0" applyFont="1" applyAlignment="1">
      <alignment horizontal="left"/>
    </xf>
    <xf numFmtId="173" fontId="8" fillId="0" borderId="6" xfId="86" applyNumberFormat="1" applyFont="1" applyBorder="1" applyAlignment="1" applyProtection="1"/>
    <xf numFmtId="165" fontId="9" fillId="0" borderId="0" xfId="257" applyNumberFormat="1" applyFont="1" applyAlignment="1" applyProtection="1">
      <alignment horizontal="right"/>
    </xf>
    <xf numFmtId="3" fontId="8" fillId="0" borderId="0" xfId="257" applyNumberFormat="1" applyFont="1" applyAlignment="1" applyProtection="1">
      <alignment horizontal="center" wrapText="1"/>
    </xf>
    <xf numFmtId="4" fontId="8" fillId="0" borderId="0" xfId="257" applyNumberFormat="1" applyFont="1" applyProtection="1"/>
    <xf numFmtId="173" fontId="8" fillId="0" borderId="6" xfId="86" applyNumberFormat="1" applyFont="1" applyFill="1" applyBorder="1" applyAlignment="1" applyProtection="1"/>
    <xf numFmtId="172" fontId="9" fillId="0" borderId="0" xfId="257" applyFont="1" applyAlignment="1" applyProtection="1">
      <alignment horizontal="right"/>
    </xf>
    <xf numFmtId="165" fontId="9" fillId="0" borderId="0" xfId="257" applyNumberFormat="1" applyFont="1" applyProtection="1"/>
    <xf numFmtId="166" fontId="9" fillId="0" borderId="0" xfId="257" applyNumberFormat="1" applyFont="1" applyProtection="1"/>
    <xf numFmtId="3" fontId="8" fillId="0" borderId="6" xfId="257" applyNumberFormat="1" applyFont="1" applyBorder="1" applyAlignment="1" applyProtection="1">
      <alignment horizontal="center"/>
    </xf>
    <xf numFmtId="0" fontId="17" fillId="0" borderId="0" xfId="257" applyNumberFormat="1" applyFont="1" applyAlignment="1" applyProtection="1">
      <alignment horizontal="left"/>
    </xf>
    <xf numFmtId="182" fontId="8" fillId="0" borderId="0" xfId="86" applyNumberFormat="1" applyFont="1" applyFill="1" applyAlignment="1" applyProtection="1">
      <alignment horizontal="center"/>
    </xf>
    <xf numFmtId="182" fontId="8" fillId="0" borderId="6" xfId="86" applyNumberFormat="1" applyFont="1" applyFill="1" applyBorder="1" applyAlignment="1" applyProtection="1">
      <alignment horizontal="center"/>
    </xf>
    <xf numFmtId="186" fontId="8" fillId="0" borderId="0" xfId="86" applyNumberFormat="1" applyFont="1" applyFill="1" applyAlignment="1" applyProtection="1"/>
    <xf numFmtId="169" fontId="8" fillId="0" borderId="16" xfId="257" applyNumberFormat="1" applyFont="1" applyBorder="1" applyProtection="1"/>
    <xf numFmtId="3" fontId="8" fillId="0" borderId="0" xfId="257" quotePrefix="1" applyNumberFormat="1" applyFont="1" applyProtection="1"/>
    <xf numFmtId="169" fontId="8" fillId="0" borderId="0" xfId="257" applyNumberFormat="1" applyFont="1" applyProtection="1"/>
    <xf numFmtId="169" fontId="8" fillId="0" borderId="6" xfId="257" applyNumberFormat="1" applyFont="1" applyBorder="1" applyProtection="1"/>
    <xf numFmtId="182" fontId="25" fillId="0" borderId="0" xfId="86" applyNumberFormat="1" applyFont="1" applyFill="1" applyProtection="1"/>
    <xf numFmtId="169" fontId="9" fillId="0" borderId="0" xfId="257" applyNumberFormat="1" applyFont="1" applyProtection="1"/>
    <xf numFmtId="3" fontId="9" fillId="0" borderId="0" xfId="257" quotePrefix="1" applyNumberFormat="1" applyFont="1" applyProtection="1"/>
    <xf numFmtId="172" fontId="6" fillId="0" borderId="0" xfId="257" applyAlignment="1" applyProtection="1">
      <alignment horizontal="center"/>
    </xf>
    <xf numFmtId="0" fontId="29" fillId="0" borderId="0" xfId="257" applyNumberFormat="1" applyFont="1" applyProtection="1"/>
    <xf numFmtId="0" fontId="122" fillId="0" borderId="0" xfId="257" applyNumberFormat="1" applyFont="1" applyProtection="1"/>
    <xf numFmtId="172" fontId="29" fillId="0" borderId="0" xfId="257" applyFont="1" applyProtection="1"/>
    <xf numFmtId="0" fontId="29" fillId="0" borderId="0" xfId="0" applyFont="1" applyAlignment="1">
      <alignment vertical="top" wrapText="1"/>
    </xf>
    <xf numFmtId="172" fontId="29" fillId="0" borderId="0" xfId="257" applyFont="1" applyAlignment="1" applyProtection="1">
      <alignment wrapText="1"/>
    </xf>
    <xf numFmtId="172" fontId="122" fillId="0" borderId="0" xfId="257" applyFont="1" applyProtection="1"/>
    <xf numFmtId="0" fontId="6" fillId="0" borderId="0" xfId="257" applyNumberFormat="1" applyProtection="1"/>
    <xf numFmtId="0" fontId="91" fillId="0" borderId="0" xfId="257" applyNumberFormat="1" applyFont="1" applyAlignment="1" applyProtection="1">
      <alignment horizontal="center"/>
    </xf>
    <xf numFmtId="174" fontId="0" fillId="0" borderId="0" xfId="86" applyNumberFormat="1" applyFont="1" applyFill="1" applyProtection="1"/>
    <xf numFmtId="173" fontId="0" fillId="0" borderId="13" xfId="0" applyNumberFormat="1" applyBorder="1"/>
    <xf numFmtId="43" fontId="0" fillId="0" borderId="0" xfId="0" applyNumberFormat="1"/>
    <xf numFmtId="0" fontId="6" fillId="0" borderId="0" xfId="0" applyFont="1"/>
    <xf numFmtId="0" fontId="6" fillId="0" borderId="0" xfId="261" applyFont="1"/>
    <xf numFmtId="0" fontId="6" fillId="0" borderId="0" xfId="261" applyFont="1" applyAlignment="1">
      <alignment horizontal="right"/>
    </xf>
    <xf numFmtId="0" fontId="13" fillId="0" borderId="0" xfId="261" applyFont="1" applyAlignment="1">
      <alignment horizontal="center"/>
    </xf>
    <xf numFmtId="0" fontId="8" fillId="0" borderId="0" xfId="261" applyFont="1"/>
    <xf numFmtId="0" fontId="85" fillId="0" borderId="0" xfId="261" applyFont="1"/>
    <xf numFmtId="0" fontId="29" fillId="0" borderId="0" xfId="0" applyFont="1" applyAlignment="1">
      <alignment horizontal="center"/>
    </xf>
    <xf numFmtId="0" fontId="6" fillId="0" borderId="0" xfId="0" applyFont="1" applyAlignment="1">
      <alignment horizontal="right"/>
    </xf>
    <xf numFmtId="0" fontId="9" fillId="0" borderId="0" xfId="261" applyFont="1"/>
    <xf numFmtId="0" fontId="29" fillId="0" borderId="0" xfId="261" applyFont="1" applyAlignment="1">
      <alignment horizontal="center"/>
    </xf>
    <xf numFmtId="0" fontId="12" fillId="0" borderId="0" xfId="261" applyFont="1" applyAlignment="1">
      <alignment horizontal="center"/>
    </xf>
    <xf numFmtId="0" fontId="12" fillId="0" borderId="0" xfId="261" applyFont="1"/>
    <xf numFmtId="0" fontId="15" fillId="0" borderId="0" xfId="261" applyFont="1"/>
    <xf numFmtId="173" fontId="15" fillId="0" borderId="0" xfId="261" applyNumberFormat="1" applyFont="1"/>
    <xf numFmtId="0" fontId="111" fillId="0" borderId="0" xfId="0" applyFont="1"/>
    <xf numFmtId="0" fontId="102" fillId="0" borderId="0" xfId="261" applyFont="1" applyAlignment="1">
      <alignment horizontal="center"/>
    </xf>
    <xf numFmtId="0" fontId="102" fillId="0" borderId="0" xfId="261" applyFont="1"/>
    <xf numFmtId="0" fontId="110" fillId="0" borderId="0" xfId="0" applyFont="1"/>
    <xf numFmtId="0" fontId="110" fillId="0" borderId="0" xfId="261" applyFont="1"/>
    <xf numFmtId="172" fontId="15" fillId="0" borderId="0" xfId="261" applyNumberFormat="1" applyFont="1" applyAlignment="1">
      <alignment horizontal="center"/>
    </xf>
    <xf numFmtId="43" fontId="15" fillId="0" borderId="0" xfId="115" applyFont="1" applyFill="1" applyProtection="1"/>
    <xf numFmtId="43" fontId="110" fillId="0" borderId="0" xfId="115" applyFont="1" applyFill="1" applyProtection="1"/>
    <xf numFmtId="185" fontId="15" fillId="0" borderId="0" xfId="0" applyNumberFormat="1" applyFont="1"/>
    <xf numFmtId="173" fontId="15" fillId="0" borderId="13" xfId="0" applyNumberFormat="1" applyFont="1" applyBorder="1"/>
    <xf numFmtId="173" fontId="15" fillId="0" borderId="13" xfId="261" applyNumberFormat="1" applyFont="1" applyBorder="1"/>
    <xf numFmtId="173" fontId="8" fillId="0" borderId="0" xfId="261" applyNumberFormat="1" applyFont="1"/>
    <xf numFmtId="0" fontId="15" fillId="0" borderId="0" xfId="0" applyFont="1" applyAlignment="1">
      <alignment vertical="top" wrapText="1"/>
    </xf>
    <xf numFmtId="0" fontId="9" fillId="0" borderId="0" xfId="0" applyFont="1" applyAlignment="1">
      <alignment horizontal="center"/>
    </xf>
    <xf numFmtId="173" fontId="9" fillId="0" borderId="0" xfId="0" applyNumberFormat="1" applyFont="1" applyAlignment="1">
      <alignment horizontal="center"/>
    </xf>
    <xf numFmtId="173" fontId="5" fillId="0" borderId="0" xfId="86" applyNumberFormat="1" applyProtection="1"/>
    <xf numFmtId="0" fontId="14" fillId="0" borderId="0" xfId="0" applyFont="1"/>
    <xf numFmtId="0" fontId="21" fillId="0" borderId="0" xfId="0" applyFont="1" applyAlignment="1">
      <alignment horizontal="left"/>
    </xf>
    <xf numFmtId="0" fontId="69" fillId="0" borderId="0" xfId="0" applyFont="1"/>
    <xf numFmtId="0" fontId="9" fillId="0" borderId="0" xfId="0" applyFont="1" applyAlignment="1">
      <alignment horizontal="left"/>
    </xf>
    <xf numFmtId="0" fontId="15" fillId="0" borderId="0" xfId="257" applyNumberFormat="1" applyFont="1" applyProtection="1"/>
    <xf numFmtId="3" fontId="15" fillId="0" borderId="0" xfId="257" applyNumberFormat="1" applyFont="1" applyProtection="1"/>
    <xf numFmtId="10" fontId="5" fillId="0" borderId="0" xfId="266" applyNumberFormat="1" applyAlignment="1" applyProtection="1">
      <alignment horizontal="right"/>
    </xf>
    <xf numFmtId="172" fontId="15" fillId="0" borderId="0" xfId="257" applyFont="1" applyProtection="1"/>
    <xf numFmtId="10" fontId="15" fillId="0" borderId="0" xfId="266" applyNumberFormat="1" applyFont="1" applyFill="1" applyAlignment="1" applyProtection="1">
      <alignment horizontal="right"/>
    </xf>
    <xf numFmtId="3" fontId="12" fillId="0" borderId="0" xfId="257" applyNumberFormat="1" applyFont="1" applyProtection="1"/>
    <xf numFmtId="10" fontId="15" fillId="0" borderId="0" xfId="257" applyNumberFormat="1" applyFont="1" applyAlignment="1" applyProtection="1">
      <alignment horizontal="right"/>
    </xf>
    <xf numFmtId="3" fontId="16" fillId="0" borderId="0" xfId="257" applyNumberFormat="1" applyFont="1" applyAlignment="1" applyProtection="1">
      <alignment horizontal="center"/>
    </xf>
    <xf numFmtId="10" fontId="16" fillId="0" borderId="0" xfId="257" applyNumberFormat="1" applyFont="1" applyAlignment="1" applyProtection="1">
      <alignment horizontal="center"/>
    </xf>
    <xf numFmtId="0" fontId="15" fillId="0" borderId="0" xfId="257" applyNumberFormat="1" applyFont="1" applyAlignment="1" applyProtection="1">
      <alignment horizontal="right"/>
    </xf>
    <xf numFmtId="10" fontId="0" fillId="0" borderId="0" xfId="0" applyNumberFormat="1" applyAlignment="1">
      <alignment horizontal="center"/>
    </xf>
    <xf numFmtId="164" fontId="15" fillId="0" borderId="0" xfId="266" applyNumberFormat="1" applyFont="1" applyAlignment="1" applyProtection="1"/>
    <xf numFmtId="166" fontId="15" fillId="0" borderId="0" xfId="257" applyNumberFormat="1" applyFont="1" applyAlignment="1" applyProtection="1">
      <alignment horizontal="center"/>
    </xf>
    <xf numFmtId="41" fontId="15" fillId="0" borderId="0" xfId="257" applyNumberFormat="1" applyFont="1" applyProtection="1"/>
    <xf numFmtId="41" fontId="15" fillId="0" borderId="0" xfId="257" applyNumberFormat="1" applyFont="1" applyAlignment="1" applyProtection="1">
      <alignment horizontal="center"/>
    </xf>
    <xf numFmtId="164" fontId="16" fillId="0" borderId="0" xfId="266" applyNumberFormat="1" applyFont="1" applyAlignment="1" applyProtection="1"/>
    <xf numFmtId="3" fontId="15" fillId="0" borderId="0" xfId="257" applyNumberFormat="1" applyFont="1" applyAlignment="1" applyProtection="1">
      <alignment horizontal="right"/>
    </xf>
    <xf numFmtId="172" fontId="5" fillId="0" borderId="17" xfId="257" applyFont="1" applyBorder="1" applyProtection="1"/>
    <xf numFmtId="0" fontId="5" fillId="0" borderId="0" xfId="257" applyNumberFormat="1" applyFont="1" applyAlignment="1" applyProtection="1">
      <alignment horizontal="center"/>
    </xf>
    <xf numFmtId="172" fontId="5" fillId="0" borderId="0" xfId="257" applyFont="1" applyProtection="1"/>
    <xf numFmtId="3" fontId="5" fillId="0" borderId="18" xfId="257" applyNumberFormat="1" applyFont="1" applyBorder="1" applyProtection="1"/>
    <xf numFmtId="10" fontId="15" fillId="0" borderId="0" xfId="257" applyNumberFormat="1" applyFont="1" applyAlignment="1" applyProtection="1">
      <alignment horizontal="left"/>
    </xf>
    <xf numFmtId="0" fontId="5" fillId="0" borderId="17" xfId="0" applyFont="1" applyBorder="1"/>
    <xf numFmtId="0" fontId="5" fillId="0" borderId="18" xfId="0" applyFont="1" applyBorder="1"/>
    <xf numFmtId="166" fontId="5" fillId="0" borderId="19" xfId="257" applyNumberFormat="1" applyFont="1" applyBorder="1" applyAlignment="1" applyProtection="1">
      <alignment horizontal="center"/>
    </xf>
    <xf numFmtId="0" fontId="5" fillId="0" borderId="6" xfId="257" applyNumberFormat="1" applyFont="1" applyBorder="1" applyAlignment="1" applyProtection="1">
      <alignment horizontal="center"/>
    </xf>
    <xf numFmtId="174" fontId="5" fillId="0" borderId="20" xfId="0" applyNumberFormat="1" applyFont="1" applyBorder="1"/>
    <xf numFmtId="41" fontId="5" fillId="0" borderId="0" xfId="257" applyNumberFormat="1" applyFont="1" applyProtection="1"/>
    <xf numFmtId="0" fontId="15" fillId="31" borderId="0" xfId="257" applyNumberFormat="1" applyFont="1" applyFill="1" applyProtection="1"/>
    <xf numFmtId="41" fontId="15" fillId="0" borderId="0" xfId="257" applyNumberFormat="1" applyFont="1" applyAlignment="1" applyProtection="1">
      <alignment horizontal="left"/>
    </xf>
    <xf numFmtId="41" fontId="5" fillId="0" borderId="0" xfId="257" applyNumberFormat="1" applyFont="1" applyAlignment="1" applyProtection="1">
      <alignment horizontal="right"/>
    </xf>
    <xf numFmtId="167" fontId="15" fillId="0" borderId="0" xfId="257" applyNumberFormat="1" applyFont="1" applyProtection="1"/>
    <xf numFmtId="164" fontId="15" fillId="0" borderId="0" xfId="257" applyNumberFormat="1" applyFont="1" applyAlignment="1" applyProtection="1">
      <alignment horizontal="left"/>
    </xf>
    <xf numFmtId="3" fontId="15" fillId="0" borderId="0" xfId="257" applyNumberFormat="1" applyFont="1" applyAlignment="1" applyProtection="1">
      <alignment vertical="center" wrapText="1"/>
    </xf>
    <xf numFmtId="41" fontId="15" fillId="0" borderId="0" xfId="257" applyNumberFormat="1" applyFont="1" applyAlignment="1" applyProtection="1">
      <alignment vertical="center"/>
    </xf>
    <xf numFmtId="41" fontId="15" fillId="0" borderId="0" xfId="257" applyNumberFormat="1" applyFont="1" applyAlignment="1" applyProtection="1">
      <alignment horizontal="center" vertical="center"/>
    </xf>
    <xf numFmtId="41" fontId="15" fillId="0" borderId="0" xfId="257" applyNumberFormat="1" applyFont="1" applyAlignment="1" applyProtection="1">
      <alignment horizontal="right"/>
    </xf>
    <xf numFmtId="173" fontId="15" fillId="0" borderId="0" xfId="86" applyNumberFormat="1" applyFont="1" applyProtection="1"/>
    <xf numFmtId="41" fontId="15" fillId="0" borderId="0" xfId="0" applyNumberFormat="1" applyFont="1"/>
    <xf numFmtId="41" fontId="15" fillId="0" borderId="11" xfId="257" applyNumberFormat="1" applyFont="1" applyBorder="1" applyProtection="1"/>
    <xf numFmtId="41" fontId="16" fillId="0" borderId="0" xfId="257" applyNumberFormat="1" applyFont="1" applyProtection="1"/>
    <xf numFmtId="3" fontId="15" fillId="0" borderId="0" xfId="257" applyNumberFormat="1" applyFont="1" applyAlignment="1" applyProtection="1">
      <alignment horizontal="center"/>
    </xf>
    <xf numFmtId="0" fontId="15" fillId="0" borderId="0" xfId="257" applyNumberFormat="1" applyFont="1" applyAlignment="1" applyProtection="1">
      <alignment horizontal="center"/>
    </xf>
    <xf numFmtId="10" fontId="15" fillId="0" borderId="0" xfId="257" applyNumberFormat="1" applyFont="1" applyProtection="1"/>
    <xf numFmtId="169" fontId="15" fillId="0" borderId="0" xfId="257" applyNumberFormat="1" applyFont="1" applyProtection="1"/>
    <xf numFmtId="169" fontId="12" fillId="0" borderId="0" xfId="257" applyNumberFormat="1" applyFont="1" applyProtection="1"/>
    <xf numFmtId="173" fontId="15" fillId="0" borderId="0" xfId="86" applyNumberFormat="1" applyFont="1" applyFill="1" applyBorder="1" applyProtection="1"/>
    <xf numFmtId="41" fontId="16" fillId="0" borderId="0" xfId="0" applyNumberFormat="1" applyFont="1"/>
    <xf numFmtId="182" fontId="15" fillId="0" borderId="0" xfId="86" applyNumberFormat="1" applyFont="1" applyProtection="1"/>
    <xf numFmtId="10" fontId="16" fillId="0" borderId="0" xfId="0" applyNumberFormat="1" applyFont="1"/>
    <xf numFmtId="0" fontId="15" fillId="31" borderId="0" xfId="0" applyFont="1" applyFill="1"/>
    <xf numFmtId="173" fontId="15" fillId="0" borderId="0" xfId="86" applyNumberFormat="1" applyFont="1" applyFill="1" applyProtection="1"/>
    <xf numFmtId="173" fontId="15" fillId="0" borderId="0" xfId="86" applyNumberFormat="1" applyFont="1" applyBorder="1" applyProtection="1"/>
    <xf numFmtId="43" fontId="15" fillId="0" borderId="0" xfId="86" applyFont="1" applyProtection="1"/>
    <xf numFmtId="173" fontId="15" fillId="0" borderId="0" xfId="0" applyNumberFormat="1" applyFont="1"/>
    <xf numFmtId="0" fontId="71" fillId="0" borderId="0" xfId="0" applyFont="1"/>
    <xf numFmtId="174" fontId="15" fillId="0" borderId="0" xfId="0" applyNumberFormat="1" applyFont="1"/>
    <xf numFmtId="0" fontId="9" fillId="0" borderId="0" xfId="0" applyFont="1"/>
    <xf numFmtId="0" fontId="12" fillId="0" borderId="21" xfId="0" applyFont="1" applyBorder="1"/>
    <xf numFmtId="0" fontId="12" fillId="0" borderId="16" xfId="0" applyFont="1" applyBorder="1"/>
    <xf numFmtId="0" fontId="15" fillId="0" borderId="16" xfId="0" applyFont="1" applyBorder="1"/>
    <xf numFmtId="173" fontId="12" fillId="0" borderId="22" xfId="86" applyNumberFormat="1" applyFont="1" applyBorder="1" applyProtection="1"/>
    <xf numFmtId="0" fontId="8" fillId="0" borderId="0" xfId="86" applyNumberFormat="1" applyFont="1" applyFill="1" applyAlignment="1" applyProtection="1">
      <alignment horizontal="left"/>
    </xf>
    <xf numFmtId="0" fontId="8" fillId="0" borderId="0" xfId="86" applyNumberFormat="1" applyFont="1" applyFill="1" applyBorder="1" applyAlignment="1" applyProtection="1">
      <alignment horizontal="left"/>
    </xf>
    <xf numFmtId="0" fontId="12" fillId="0" borderId="17" xfId="0" applyFont="1" applyBorder="1"/>
    <xf numFmtId="0" fontId="9" fillId="0" borderId="0" xfId="86" applyNumberFormat="1" applyFont="1" applyFill="1" applyBorder="1" applyAlignment="1" applyProtection="1">
      <alignment horizontal="left"/>
    </xf>
    <xf numFmtId="173" fontId="12" fillId="0" borderId="23" xfId="86" applyNumberFormat="1" applyFont="1" applyBorder="1" applyProtection="1"/>
    <xf numFmtId="0" fontId="12" fillId="0" borderId="0" xfId="0" applyFont="1"/>
    <xf numFmtId="173" fontId="12" fillId="0" borderId="19" xfId="86" applyNumberFormat="1" applyFont="1" applyBorder="1" applyProtection="1"/>
    <xf numFmtId="173" fontId="15" fillId="0" borderId="6" xfId="86" applyNumberFormat="1" applyFont="1" applyBorder="1" applyProtection="1"/>
    <xf numFmtId="173" fontId="15" fillId="0" borderId="20" xfId="86" applyNumberFormat="1" applyFont="1" applyBorder="1" applyProtection="1"/>
    <xf numFmtId="0" fontId="10" fillId="0" borderId="0" xfId="0" applyFont="1"/>
    <xf numFmtId="173" fontId="25" fillId="0" borderId="0" xfId="0" applyNumberFormat="1" applyFont="1" applyAlignment="1">
      <alignment horizontal="left"/>
    </xf>
    <xf numFmtId="0" fontId="15" fillId="0" borderId="0" xfId="0" applyFont="1" applyAlignment="1">
      <alignment wrapText="1"/>
    </xf>
    <xf numFmtId="0" fontId="15" fillId="0" borderId="24" xfId="0" applyFont="1" applyBorder="1" applyAlignment="1">
      <alignment horizontal="center"/>
    </xf>
    <xf numFmtId="0" fontId="0" fillId="0" borderId="25" xfId="0" applyBorder="1"/>
    <xf numFmtId="0" fontId="0" fillId="0" borderId="26" xfId="0" applyBorder="1"/>
    <xf numFmtId="0" fontId="15" fillId="0" borderId="17" xfId="0" applyFont="1" applyBorder="1"/>
    <xf numFmtId="0" fontId="12" fillId="0" borderId="22" xfId="0" applyFont="1" applyBorder="1" applyAlignment="1">
      <alignment horizontal="center"/>
    </xf>
    <xf numFmtId="173" fontId="15" fillId="0" borderId="0" xfId="0" applyNumberFormat="1" applyFont="1" applyAlignment="1">
      <alignment horizontal="right"/>
    </xf>
    <xf numFmtId="10" fontId="15" fillId="0" borderId="18" xfId="0" applyNumberFormat="1" applyFont="1" applyBorder="1"/>
    <xf numFmtId="173" fontId="15" fillId="0" borderId="18" xfId="0" applyNumberFormat="1" applyFont="1" applyBorder="1" applyAlignment="1">
      <alignment horizontal="right"/>
    </xf>
    <xf numFmtId="0" fontId="15" fillId="0" borderId="19" xfId="0" applyFont="1" applyBorder="1"/>
    <xf numFmtId="0" fontId="15" fillId="0" borderId="6" xfId="0" applyFont="1" applyBorder="1" applyAlignment="1">
      <alignment horizontal="center"/>
    </xf>
    <xf numFmtId="0" fontId="0" fillId="0" borderId="6" xfId="0" applyBorder="1"/>
    <xf numFmtId="0" fontId="12" fillId="0" borderId="27" xfId="0" applyFont="1" applyBorder="1" applyAlignment="1">
      <alignment horizontal="center" wrapText="1"/>
    </xf>
    <xf numFmtId="173" fontId="12" fillId="0" borderId="0" xfId="86" applyNumberFormat="1" applyFont="1" applyBorder="1" applyAlignment="1" applyProtection="1">
      <alignment horizontal="center" wrapText="1"/>
    </xf>
    <xf numFmtId="173" fontId="12" fillId="0" borderId="27" xfId="86" applyNumberFormat="1" applyFont="1" applyBorder="1" applyAlignment="1" applyProtection="1">
      <alignment horizontal="center" wrapText="1"/>
    </xf>
    <xf numFmtId="173" fontId="12" fillId="0" borderId="22" xfId="86" applyNumberFormat="1" applyFont="1" applyBorder="1" applyAlignment="1" applyProtection="1">
      <alignment horizontal="center" wrapText="1"/>
    </xf>
    <xf numFmtId="0" fontId="12" fillId="0" borderId="28" xfId="0" applyFont="1" applyBorder="1" applyAlignment="1">
      <alignment horizontal="center" wrapText="1"/>
    </xf>
    <xf numFmtId="173" fontId="12" fillId="28" borderId="27" xfId="86" applyNumberFormat="1" applyFont="1" applyFill="1" applyBorder="1" applyAlignment="1" applyProtection="1">
      <alignment horizontal="center" wrapText="1"/>
    </xf>
    <xf numFmtId="0" fontId="12" fillId="0" borderId="29" xfId="0" applyFont="1" applyBorder="1" applyAlignment="1">
      <alignment horizontal="center"/>
    </xf>
    <xf numFmtId="0" fontId="12" fillId="0" borderId="6" xfId="0" applyFont="1" applyBorder="1" applyAlignment="1">
      <alignment horizontal="center"/>
    </xf>
    <xf numFmtId="173" fontId="12" fillId="0" borderId="29" xfId="86" applyNumberFormat="1" applyFont="1" applyBorder="1" applyAlignment="1" applyProtection="1">
      <alignment horizontal="center"/>
    </xf>
    <xf numFmtId="173" fontId="12" fillId="0" borderId="20" xfId="86" applyNumberFormat="1" applyFont="1" applyBorder="1" applyAlignment="1" applyProtection="1">
      <alignment horizontal="center"/>
    </xf>
    <xf numFmtId="0" fontId="12" fillId="0" borderId="28" xfId="0" applyFont="1" applyBorder="1" applyAlignment="1">
      <alignment horizontal="center"/>
    </xf>
    <xf numFmtId="173" fontId="12" fillId="28" borderId="29" xfId="86" applyNumberFormat="1" applyFont="1" applyFill="1" applyBorder="1" applyAlignment="1" applyProtection="1">
      <alignment horizontal="center"/>
    </xf>
    <xf numFmtId="0" fontId="15" fillId="0" borderId="28" xfId="0" applyFont="1" applyBorder="1" applyAlignment="1">
      <alignment horizontal="center"/>
    </xf>
    <xf numFmtId="173" fontId="15" fillId="0" borderId="28" xfId="86" applyNumberFormat="1" applyFont="1" applyBorder="1" applyProtection="1"/>
    <xf numFmtId="173" fontId="15" fillId="0" borderId="28" xfId="86" applyNumberFormat="1" applyFont="1" applyFill="1" applyBorder="1" applyProtection="1"/>
    <xf numFmtId="173" fontId="15" fillId="0" borderId="18" xfId="86" applyNumberFormat="1" applyFont="1" applyFill="1" applyBorder="1" applyProtection="1"/>
    <xf numFmtId="174" fontId="15" fillId="0" borderId="28" xfId="0" applyNumberFormat="1" applyFont="1" applyBorder="1"/>
    <xf numFmtId="174" fontId="11" fillId="29" borderId="27" xfId="0" applyNumberFormat="1" applyFont="1" applyFill="1" applyBorder="1"/>
    <xf numFmtId="174" fontId="15" fillId="28" borderId="27" xfId="0" applyNumberFormat="1" applyFont="1" applyFill="1" applyBorder="1"/>
    <xf numFmtId="173" fontId="15" fillId="0" borderId="28" xfId="0" applyNumberFormat="1" applyFont="1" applyBorder="1"/>
    <xf numFmtId="173" fontId="15" fillId="0" borderId="18" xfId="86" applyNumberFormat="1" applyFont="1" applyBorder="1" applyProtection="1"/>
    <xf numFmtId="174" fontId="11" fillId="29" borderId="28" xfId="0" applyNumberFormat="1" applyFont="1" applyFill="1" applyBorder="1"/>
    <xf numFmtId="174" fontId="15" fillId="28" borderId="28" xfId="0" applyNumberFormat="1" applyFont="1" applyFill="1" applyBorder="1"/>
    <xf numFmtId="174" fontId="15" fillId="28" borderId="28" xfId="0" applyNumberFormat="1" applyFont="1" applyFill="1" applyBorder="1" applyAlignment="1">
      <alignment wrapText="1"/>
    </xf>
    <xf numFmtId="0" fontId="15" fillId="0" borderId="29" xfId="0" applyFont="1" applyBorder="1" applyAlignment="1">
      <alignment horizontal="center"/>
    </xf>
    <xf numFmtId="173" fontId="15" fillId="0" borderId="6" xfId="0" applyNumberFormat="1" applyFont="1" applyBorder="1"/>
    <xf numFmtId="173" fontId="15" fillId="0" borderId="29" xfId="0" applyNumberFormat="1" applyFont="1" applyBorder="1"/>
    <xf numFmtId="173" fontId="15" fillId="0" borderId="29" xfId="86" applyNumberFormat="1" applyFont="1" applyBorder="1" applyProtection="1"/>
    <xf numFmtId="174" fontId="15" fillId="0" borderId="29" xfId="0" applyNumberFormat="1" applyFont="1" applyBorder="1"/>
    <xf numFmtId="174" fontId="11" fillId="29" borderId="29" xfId="0" applyNumberFormat="1" applyFont="1" applyFill="1" applyBorder="1"/>
    <xf numFmtId="174" fontId="15" fillId="28" borderId="29" xfId="0" applyNumberFormat="1" applyFont="1" applyFill="1" applyBorder="1"/>
    <xf numFmtId="0" fontId="0" fillId="33" borderId="0" xfId="0" applyFill="1"/>
    <xf numFmtId="10" fontId="0" fillId="0" borderId="0" xfId="266" applyNumberFormat="1" applyFont="1" applyAlignment="1" applyProtection="1">
      <alignment horizontal="right"/>
    </xf>
    <xf numFmtId="172" fontId="15" fillId="0" borderId="21" xfId="257" applyFont="1" applyBorder="1" applyProtection="1"/>
    <xf numFmtId="172" fontId="15" fillId="0" borderId="16" xfId="257" applyFont="1" applyBorder="1" applyProtection="1"/>
    <xf numFmtId="3" fontId="15" fillId="0" borderId="22" xfId="257" applyNumberFormat="1" applyFont="1" applyBorder="1" applyProtection="1"/>
    <xf numFmtId="172" fontId="15" fillId="0" borderId="17" xfId="257" applyFont="1" applyBorder="1" applyProtection="1"/>
    <xf numFmtId="3" fontId="15" fillId="0" borderId="18" xfId="257" applyNumberFormat="1" applyFont="1" applyBorder="1" applyProtection="1"/>
    <xf numFmtId="0" fontId="15" fillId="0" borderId="0" xfId="257" quotePrefix="1" applyNumberFormat="1" applyFont="1" applyAlignment="1" applyProtection="1">
      <alignment horizontal="center"/>
    </xf>
    <xf numFmtId="0" fontId="15" fillId="0" borderId="18" xfId="0" applyFont="1" applyBorder="1"/>
    <xf numFmtId="10" fontId="35" fillId="0" borderId="0" xfId="0" applyNumberFormat="1" applyFont="1" applyAlignment="1">
      <alignment horizontal="center"/>
    </xf>
    <xf numFmtId="0" fontId="15" fillId="0" borderId="0" xfId="0" applyFont="1" applyAlignment="1">
      <alignment horizontal="right"/>
    </xf>
    <xf numFmtId="174" fontId="15" fillId="0" borderId="18" xfId="0" applyNumberFormat="1" applyFont="1" applyBorder="1"/>
    <xf numFmtId="174" fontId="15" fillId="0" borderId="20" xfId="0" applyNumberFormat="1" applyFont="1" applyBorder="1"/>
    <xf numFmtId="173" fontId="15" fillId="0" borderId="22" xfId="0" applyNumberFormat="1" applyFont="1" applyBorder="1"/>
    <xf numFmtId="166" fontId="15" fillId="0" borderId="19" xfId="257" applyNumberFormat="1" applyFont="1" applyBorder="1" applyAlignment="1" applyProtection="1">
      <alignment horizontal="center"/>
    </xf>
    <xf numFmtId="0" fontId="15" fillId="0" borderId="6" xfId="257" applyNumberFormat="1" applyFont="1" applyBorder="1" applyAlignment="1" applyProtection="1">
      <alignment horizontal="center"/>
    </xf>
    <xf numFmtId="173" fontId="15" fillId="0" borderId="6" xfId="257" quotePrefix="1" applyNumberFormat="1" applyFont="1" applyBorder="1" applyAlignment="1" applyProtection="1">
      <alignment horizontal="center"/>
    </xf>
    <xf numFmtId="10" fontId="15" fillId="0" borderId="0" xfId="266" applyNumberFormat="1" applyFont="1" applyFill="1" applyBorder="1" applyAlignment="1" applyProtection="1"/>
    <xf numFmtId="0" fontId="130" fillId="27" borderId="0" xfId="0" applyFont="1" applyFill="1"/>
    <xf numFmtId="0" fontId="12" fillId="0" borderId="21" xfId="0" applyFont="1" applyBorder="1" applyAlignment="1">
      <alignment horizontal="center"/>
    </xf>
    <xf numFmtId="173" fontId="15" fillId="0" borderId="17" xfId="86" applyNumberFormat="1" applyFont="1" applyBorder="1" applyProtection="1"/>
    <xf numFmtId="173" fontId="12" fillId="0" borderId="0" xfId="86" applyNumberFormat="1" applyFont="1" applyBorder="1" applyProtection="1"/>
    <xf numFmtId="173" fontId="15" fillId="0" borderId="18" xfId="0" applyNumberFormat="1" applyFont="1" applyBorder="1"/>
    <xf numFmtId="173" fontId="12" fillId="0" borderId="11" xfId="86" applyNumberFormat="1" applyFont="1" applyBorder="1" applyProtection="1"/>
    <xf numFmtId="173" fontId="15" fillId="0" borderId="23" xfId="0" applyNumberFormat="1" applyFont="1" applyBorder="1"/>
    <xf numFmtId="173" fontId="12" fillId="0" borderId="6" xfId="86" applyNumberFormat="1" applyFont="1" applyFill="1" applyBorder="1" applyAlignment="1" applyProtection="1">
      <alignment horizontal="left"/>
    </xf>
    <xf numFmtId="173" fontId="12" fillId="0" borderId="20" xfId="86" applyNumberFormat="1" applyFont="1" applyFill="1" applyBorder="1" applyAlignment="1" applyProtection="1">
      <alignment horizontal="left"/>
    </xf>
    <xf numFmtId="173" fontId="15" fillId="0" borderId="27" xfId="0" applyNumberFormat="1" applyFont="1" applyBorder="1"/>
    <xf numFmtId="174" fontId="15" fillId="0" borderId="27" xfId="0" applyNumberFormat="1" applyFont="1" applyBorder="1"/>
    <xf numFmtId="0" fontId="12" fillId="0" borderId="0" xfId="257" applyNumberFormat="1" applyFont="1" applyAlignment="1" applyProtection="1">
      <alignment vertical="center"/>
    </xf>
    <xf numFmtId="0" fontId="109" fillId="0" borderId="0" xfId="0" applyFont="1"/>
    <xf numFmtId="0" fontId="12" fillId="0" borderId="0" xfId="257" applyNumberFormat="1" applyFont="1" applyAlignment="1" applyProtection="1">
      <alignment vertical="top"/>
    </xf>
    <xf numFmtId="0" fontId="25" fillId="0" borderId="0" xfId="0" applyFont="1"/>
    <xf numFmtId="0" fontId="113" fillId="0" borderId="0" xfId="259" applyFont="1"/>
    <xf numFmtId="0" fontId="6" fillId="0" borderId="0" xfId="259"/>
    <xf numFmtId="44" fontId="113" fillId="0" borderId="0" xfId="117" applyFont="1" applyAlignment="1" applyProtection="1"/>
    <xf numFmtId="0" fontId="114" fillId="0" borderId="0" xfId="259" applyFont="1"/>
    <xf numFmtId="0" fontId="115" fillId="0" borderId="0" xfId="259" applyFont="1" applyAlignment="1">
      <alignment horizontal="center"/>
    </xf>
    <xf numFmtId="0" fontId="116" fillId="0" borderId="0" xfId="259" applyFont="1"/>
    <xf numFmtId="176" fontId="115" fillId="0" borderId="0" xfId="259" applyNumberFormat="1" applyFont="1" applyAlignment="1">
      <alignment horizontal="center"/>
    </xf>
    <xf numFmtId="0" fontId="115" fillId="0" borderId="0" xfId="259" applyFont="1"/>
    <xf numFmtId="176" fontId="115" fillId="0" borderId="0" xfId="259" quotePrefix="1" applyNumberFormat="1" applyFont="1" applyAlignment="1">
      <alignment horizontal="center"/>
    </xf>
    <xf numFmtId="194" fontId="115" fillId="0" borderId="0" xfId="259" quotePrefix="1" applyNumberFormat="1" applyFont="1" applyAlignment="1">
      <alignment horizontal="center"/>
    </xf>
    <xf numFmtId="0" fontId="117" fillId="0" borderId="0" xfId="259" applyFont="1"/>
    <xf numFmtId="0" fontId="118" fillId="0" borderId="15" xfId="259" applyFont="1" applyBorder="1"/>
    <xf numFmtId="0" fontId="114" fillId="0" borderId="15" xfId="259" applyFont="1" applyBorder="1"/>
    <xf numFmtId="0" fontId="45" fillId="0" borderId="0" xfId="259" applyFont="1"/>
    <xf numFmtId="0" fontId="8" fillId="0" borderId="0" xfId="256" applyFont="1"/>
    <xf numFmtId="0" fontId="5" fillId="0" borderId="0" xfId="256"/>
    <xf numFmtId="0" fontId="5" fillId="0" borderId="0" xfId="256" applyAlignment="1">
      <alignment horizontal="center"/>
    </xf>
    <xf numFmtId="0" fontId="126" fillId="0" borderId="0" xfId="0" applyFont="1" applyAlignment="1">
      <alignment horizontal="left"/>
    </xf>
    <xf numFmtId="0" fontId="126" fillId="0" borderId="0" xfId="0" applyFont="1"/>
    <xf numFmtId="0" fontId="126" fillId="0" borderId="27" xfId="0" applyFont="1" applyBorder="1" applyAlignment="1">
      <alignment horizontal="center" wrapText="1"/>
    </xf>
    <xf numFmtId="0" fontId="126" fillId="0" borderId="28" xfId="0" applyFont="1" applyBorder="1" applyAlignment="1">
      <alignment horizontal="center" wrapText="1"/>
    </xf>
    <xf numFmtId="0" fontId="126" fillId="0" borderId="28" xfId="0" applyFont="1" applyBorder="1"/>
    <xf numFmtId="170" fontId="127" fillId="0" borderId="0" xfId="0" applyNumberFormat="1" applyFont="1" applyAlignment="1">
      <alignment horizontal="right"/>
    </xf>
    <xf numFmtId="170" fontId="126" fillId="0" borderId="0" xfId="0" applyNumberFormat="1" applyFont="1" applyAlignment="1">
      <alignment horizontal="center"/>
    </xf>
    <xf numFmtId="170" fontId="126" fillId="0" borderId="0" xfId="0" applyNumberFormat="1" applyFont="1"/>
    <xf numFmtId="170" fontId="127" fillId="0" borderId="0" xfId="0" applyNumberFormat="1" applyFont="1" applyAlignment="1">
      <alignment horizontal="center"/>
    </xf>
    <xf numFmtId="170" fontId="8" fillId="0" borderId="0" xfId="0" applyNumberFormat="1" applyFont="1"/>
    <xf numFmtId="5" fontId="126" fillId="0" borderId="29" xfId="0" applyNumberFormat="1" applyFont="1" applyBorder="1" applyAlignment="1">
      <alignment horizontal="center"/>
    </xf>
    <xf numFmtId="173" fontId="126" fillId="0" borderId="0" xfId="0" applyNumberFormat="1" applyFont="1"/>
    <xf numFmtId="0" fontId="126" fillId="0" borderId="0" xfId="0" applyFont="1" applyAlignment="1">
      <alignment horizontal="center"/>
    </xf>
    <xf numFmtId="173" fontId="126" fillId="0" borderId="6" xfId="0" applyNumberFormat="1" applyFont="1" applyBorder="1"/>
    <xf numFmtId="0" fontId="126" fillId="0" borderId="6" xfId="0" applyFont="1" applyBorder="1" applyAlignment="1">
      <alignment horizontal="center"/>
    </xf>
    <xf numFmtId="0" fontId="8" fillId="0" borderId="6" xfId="0" applyFont="1" applyBorder="1"/>
    <xf numFmtId="173" fontId="126" fillId="0" borderId="0" xfId="0" applyNumberFormat="1" applyFont="1" applyAlignment="1">
      <alignment horizontal="left"/>
    </xf>
    <xf numFmtId="0" fontId="127" fillId="0" borderId="0" xfId="0" applyFont="1" applyAlignment="1">
      <alignment horizontal="left"/>
    </xf>
    <xf numFmtId="0" fontId="127" fillId="0" borderId="0" xfId="0" applyFont="1" applyAlignment="1">
      <alignment horizontal="center" wrapText="1"/>
    </xf>
    <xf numFmtId="0" fontId="127" fillId="0" borderId="0" xfId="0" applyFont="1" applyAlignment="1">
      <alignment horizontal="center"/>
    </xf>
    <xf numFmtId="173" fontId="127" fillId="0" borderId="0" xfId="0" applyNumberFormat="1" applyFont="1" applyAlignment="1">
      <alignment horizontal="center" wrapText="1"/>
    </xf>
    <xf numFmtId="173" fontId="127" fillId="0" borderId="0" xfId="0" applyNumberFormat="1" applyFont="1" applyAlignment="1">
      <alignment horizontal="center"/>
    </xf>
    <xf numFmtId="176" fontId="126" fillId="0" borderId="0" xfId="267" applyNumberFormat="1" applyFont="1" applyFill="1" applyProtection="1"/>
    <xf numFmtId="173" fontId="126" fillId="0" borderId="0" xfId="0" applyNumberFormat="1" applyFont="1" applyAlignment="1">
      <alignment horizontal="center"/>
    </xf>
    <xf numFmtId="0" fontId="128" fillId="0" borderId="0" xfId="0" applyFont="1" applyAlignment="1">
      <alignment horizontal="center"/>
    </xf>
    <xf numFmtId="173" fontId="126" fillId="0" borderId="0" xfId="88" applyNumberFormat="1" applyFont="1" applyFill="1" applyProtection="1"/>
    <xf numFmtId="176" fontId="126" fillId="0" borderId="0" xfId="0" applyNumberFormat="1" applyFont="1"/>
    <xf numFmtId="173" fontId="126" fillId="0" borderId="11" xfId="88" applyNumberFormat="1" applyFont="1" applyFill="1" applyBorder="1" applyProtection="1"/>
    <xf numFmtId="173" fontId="127" fillId="0" borderId="0" xfId="88" applyNumberFormat="1" applyFont="1" applyFill="1" applyProtection="1"/>
    <xf numFmtId="173" fontId="127" fillId="0" borderId="0" xfId="88" applyNumberFormat="1" applyFont="1" applyFill="1" applyAlignment="1" applyProtection="1">
      <alignment horizontal="center"/>
    </xf>
    <xf numFmtId="0" fontId="128" fillId="0" borderId="0" xfId="0" applyFont="1"/>
    <xf numFmtId="173" fontId="127" fillId="0" borderId="0" xfId="0" applyNumberFormat="1" applyFont="1"/>
    <xf numFmtId="196" fontId="8" fillId="0" borderId="0" xfId="0" applyNumberFormat="1" applyFont="1"/>
    <xf numFmtId="173" fontId="8" fillId="0" borderId="0" xfId="88" applyNumberFormat="1" applyFont="1" applyFill="1" applyProtection="1"/>
    <xf numFmtId="173" fontId="8" fillId="0" borderId="0" xfId="118" applyNumberFormat="1" applyFont="1" applyFill="1" applyProtection="1"/>
    <xf numFmtId="0" fontId="129" fillId="0" borderId="0" xfId="0" applyFont="1"/>
    <xf numFmtId="176" fontId="0" fillId="0" borderId="0" xfId="0" applyNumberFormat="1"/>
    <xf numFmtId="174" fontId="0" fillId="0" borderId="0" xfId="118" applyNumberFormat="1" applyFont="1" applyFill="1" applyProtection="1"/>
    <xf numFmtId="173" fontId="126" fillId="0" borderId="0" xfId="183" applyNumberFormat="1" applyFont="1"/>
    <xf numFmtId="43" fontId="15" fillId="0" borderId="0" xfId="183" applyNumberFormat="1"/>
    <xf numFmtId="43" fontId="8" fillId="0" borderId="0" xfId="183" applyNumberFormat="1" applyFont="1"/>
    <xf numFmtId="10" fontId="22" fillId="34" borderId="0" xfId="266" applyNumberFormat="1" applyFont="1" applyFill="1" applyAlignment="1" applyProtection="1">
      <protection locked="0"/>
    </xf>
    <xf numFmtId="173" fontId="11" fillId="34" borderId="0" xfId="89" applyNumberFormat="1" applyFont="1" applyFill="1" applyBorder="1" applyAlignment="1" applyProtection="1">
      <alignment horizontal="right"/>
      <protection locked="0"/>
    </xf>
    <xf numFmtId="0" fontId="35" fillId="34" borderId="0" xfId="211" applyFont="1" applyFill="1" applyProtection="1">
      <protection locked="0"/>
    </xf>
    <xf numFmtId="173" fontId="11" fillId="34" borderId="11" xfId="89" applyNumberFormat="1" applyFont="1" applyFill="1" applyBorder="1" applyAlignment="1" applyProtection="1">
      <alignment horizontal="right"/>
      <protection locked="0"/>
    </xf>
    <xf numFmtId="41" fontId="11" fillId="34" borderId="0" xfId="249" applyNumberFormat="1" applyFont="1" applyFill="1" applyProtection="1">
      <protection locked="0"/>
    </xf>
    <xf numFmtId="41" fontId="11" fillId="34" borderId="11" xfId="249" applyNumberFormat="1" applyFont="1" applyFill="1" applyBorder="1" applyProtection="1">
      <protection locked="0"/>
    </xf>
    <xf numFmtId="37" fontId="11" fillId="34" borderId="0" xfId="0" applyNumberFormat="1" applyFont="1" applyFill="1" applyProtection="1">
      <protection locked="0"/>
    </xf>
    <xf numFmtId="3" fontId="131" fillId="34" borderId="0" xfId="0" applyNumberFormat="1" applyFont="1" applyFill="1" applyProtection="1">
      <protection locked="0"/>
    </xf>
    <xf numFmtId="37" fontId="131" fillId="34" borderId="0" xfId="0" applyNumberFormat="1" applyFont="1" applyFill="1" applyProtection="1">
      <protection locked="0"/>
    </xf>
    <xf numFmtId="1" fontId="66" fillId="34" borderId="0" xfId="0" applyNumberFormat="1" applyFont="1" applyFill="1" applyAlignment="1" applyProtection="1">
      <alignment horizontal="left"/>
      <protection locked="0"/>
    </xf>
    <xf numFmtId="38" fontId="66" fillId="0" borderId="16" xfId="0" applyNumberFormat="1" applyFont="1" applyBorder="1"/>
    <xf numFmtId="173" fontId="11" fillId="0" borderId="0" xfId="86" applyNumberFormat="1" applyFont="1" applyFill="1" applyProtection="1"/>
    <xf numFmtId="173" fontId="0" fillId="0" borderId="11" xfId="0" applyNumberFormat="1" applyBorder="1"/>
    <xf numFmtId="173" fontId="11" fillId="34" borderId="0" xfId="115" applyNumberFormat="1" applyFont="1" applyFill="1" applyProtection="1">
      <protection locked="0"/>
    </xf>
    <xf numFmtId="0" fontId="22" fillId="34" borderId="0" xfId="249" applyFont="1" applyFill="1" applyAlignment="1" applyProtection="1">
      <alignment horizontal="center"/>
      <protection locked="0"/>
    </xf>
    <xf numFmtId="3" fontId="22" fillId="34" borderId="0" xfId="0" applyNumberFormat="1" applyFont="1" applyFill="1" applyProtection="1">
      <protection locked="0"/>
    </xf>
    <xf numFmtId="41" fontId="22" fillId="34" borderId="0" xfId="249" applyNumberFormat="1" applyFont="1" applyFill="1" applyProtection="1">
      <protection locked="0"/>
    </xf>
    <xf numFmtId="10" fontId="22" fillId="34" borderId="0" xfId="0" applyNumberFormat="1" applyFont="1" applyFill="1" applyProtection="1">
      <protection locked="0"/>
    </xf>
    <xf numFmtId="10" fontId="22" fillId="34" borderId="11" xfId="0" applyNumberFormat="1" applyFont="1" applyFill="1" applyBorder="1" applyProtection="1">
      <protection locked="0"/>
    </xf>
    <xf numFmtId="10" fontId="81" fillId="34" borderId="11" xfId="266" applyNumberFormat="1" applyFont="1" applyFill="1" applyBorder="1" applyProtection="1">
      <protection locked="0"/>
    </xf>
    <xf numFmtId="173" fontId="81" fillId="34" borderId="0" xfId="258" applyNumberFormat="1" applyFont="1" applyFill="1" applyProtection="1">
      <protection locked="0"/>
    </xf>
    <xf numFmtId="0" fontId="74" fillId="34" borderId="0" xfId="258" applyFont="1" applyFill="1" applyAlignment="1" applyProtection="1">
      <alignment horizontal="center"/>
      <protection locked="0"/>
    </xf>
    <xf numFmtId="0" fontId="11" fillId="34" borderId="0" xfId="86" applyNumberFormat="1" applyFont="1" applyFill="1" applyAlignment="1" applyProtection="1">
      <protection locked="0"/>
    </xf>
    <xf numFmtId="173" fontId="5" fillId="34" borderId="6" xfId="257" applyNumberFormat="1" applyFont="1" applyFill="1" applyBorder="1" applyAlignment="1" applyProtection="1">
      <alignment horizontal="center"/>
      <protection locked="0"/>
    </xf>
    <xf numFmtId="0" fontId="22" fillId="34" borderId="0" xfId="86" applyNumberFormat="1" applyFont="1" applyFill="1" applyAlignment="1" applyProtection="1">
      <alignment horizontal="left"/>
      <protection locked="0"/>
    </xf>
    <xf numFmtId="173" fontId="161" fillId="34" borderId="18" xfId="86" applyNumberFormat="1" applyFont="1" applyFill="1" applyBorder="1" applyAlignment="1" applyProtection="1">
      <alignment horizontal="right"/>
      <protection locked="0"/>
    </xf>
    <xf numFmtId="173" fontId="11" fillId="34" borderId="18" xfId="86" applyNumberFormat="1" applyFont="1" applyFill="1" applyBorder="1" applyAlignment="1" applyProtection="1">
      <alignment horizontal="right"/>
      <protection locked="0"/>
    </xf>
    <xf numFmtId="0" fontId="11" fillId="34" borderId="20" xfId="0" applyFont="1" applyFill="1" applyBorder="1" applyAlignment="1" applyProtection="1">
      <alignment horizontal="right"/>
      <protection locked="0"/>
    </xf>
    <xf numFmtId="173" fontId="11" fillId="34" borderId="18" xfId="0" applyNumberFormat="1" applyFont="1" applyFill="1" applyBorder="1" applyAlignment="1" applyProtection="1">
      <alignment horizontal="right"/>
      <protection locked="0"/>
    </xf>
    <xf numFmtId="174" fontId="11" fillId="34" borderId="28" xfId="0" applyNumberFormat="1" applyFont="1" applyFill="1" applyBorder="1" applyProtection="1">
      <protection locked="0"/>
    </xf>
    <xf numFmtId="174" fontId="11" fillId="34" borderId="29" xfId="0" applyNumberFormat="1" applyFont="1" applyFill="1" applyBorder="1" applyProtection="1">
      <protection locked="0"/>
    </xf>
    <xf numFmtId="174" fontId="15" fillId="34" borderId="0" xfId="0" applyNumberFormat="1" applyFont="1" applyFill="1" applyProtection="1">
      <protection locked="0"/>
    </xf>
    <xf numFmtId="174" fontId="15" fillId="34" borderId="6" xfId="0" applyNumberFormat="1" applyFont="1" applyFill="1" applyBorder="1" applyProtection="1">
      <protection locked="0"/>
    </xf>
    <xf numFmtId="0" fontId="72" fillId="34" borderId="0" xfId="0" applyFont="1" applyFill="1" applyAlignment="1" applyProtection="1">
      <alignment horizontal="left"/>
      <protection locked="0"/>
    </xf>
    <xf numFmtId="0" fontId="11" fillId="34" borderId="18" xfId="0" applyFont="1" applyFill="1" applyBorder="1" applyAlignment="1" applyProtection="1">
      <alignment horizontal="right"/>
      <protection locked="0"/>
    </xf>
    <xf numFmtId="0" fontId="20" fillId="0" borderId="0" xfId="249" applyFont="1" applyAlignment="1">
      <alignment wrapText="1"/>
    </xf>
    <xf numFmtId="173" fontId="11" fillId="34" borderId="0" xfId="88" applyNumberFormat="1" applyFont="1" applyFill="1" applyBorder="1" applyProtection="1">
      <protection locked="0"/>
    </xf>
    <xf numFmtId="173" fontId="23" fillId="34" borderId="0" xfId="86" applyNumberFormat="1" applyFont="1" applyFill="1" applyProtection="1">
      <protection locked="0"/>
    </xf>
    <xf numFmtId="190" fontId="23" fillId="34" borderId="0" xfId="0" applyNumberFormat="1" applyFont="1" applyFill="1" applyProtection="1">
      <protection locked="0"/>
    </xf>
    <xf numFmtId="0" fontId="0" fillId="34" borderId="0" xfId="0" applyFill="1" applyAlignment="1" applyProtection="1">
      <alignment horizontal="center"/>
      <protection locked="0"/>
    </xf>
    <xf numFmtId="0" fontId="23" fillId="34" borderId="0" xfId="0" applyFont="1" applyFill="1" applyProtection="1">
      <protection locked="0"/>
    </xf>
    <xf numFmtId="170" fontId="126" fillId="34" borderId="29" xfId="0" applyNumberFormat="1" applyFont="1" applyFill="1" applyBorder="1" applyAlignment="1" applyProtection="1">
      <alignment horizontal="center"/>
      <protection locked="0"/>
    </xf>
    <xf numFmtId="176" fontId="126" fillId="34" borderId="0" xfId="267" applyNumberFormat="1" applyFont="1" applyFill="1" applyProtection="1">
      <protection locked="0"/>
    </xf>
    <xf numFmtId="198" fontId="162" fillId="31" borderId="0" xfId="0" applyNumberFormat="1" applyFont="1" applyFill="1" applyAlignment="1">
      <alignment horizontal="right"/>
    </xf>
    <xf numFmtId="41" fontId="11" fillId="34" borderId="0" xfId="250" applyNumberFormat="1" applyFont="1" applyFill="1"/>
    <xf numFmtId="41" fontId="11" fillId="34" borderId="11" xfId="250" applyNumberFormat="1" applyFont="1" applyFill="1" applyBorder="1"/>
    <xf numFmtId="173" fontId="15" fillId="0" borderId="28" xfId="95" applyNumberFormat="1" applyFont="1" applyFill="1" applyBorder="1" applyProtection="1"/>
    <xf numFmtId="173" fontId="15" fillId="0" borderId="18" xfId="95" applyNumberFormat="1" applyFont="1" applyFill="1" applyBorder="1" applyProtection="1"/>
    <xf numFmtId="173" fontId="11" fillId="0" borderId="0" xfId="115" applyNumberFormat="1" applyFont="1" applyFill="1" applyProtection="1">
      <protection locked="0"/>
    </xf>
    <xf numFmtId="0" fontId="135" fillId="0" borderId="0" xfId="0" applyFont="1" applyAlignment="1">
      <alignment vertical="center"/>
    </xf>
    <xf numFmtId="0" fontId="84" fillId="0" borderId="0" xfId="211" applyFont="1" applyAlignment="1">
      <alignment horizontal="center"/>
    </xf>
    <xf numFmtId="173" fontId="81" fillId="0" borderId="0" xfId="258" applyNumberFormat="1" applyFont="1" applyProtection="1">
      <protection locked="0"/>
    </xf>
    <xf numFmtId="0" fontId="74" fillId="0" borderId="0" xfId="258" applyFont="1" applyAlignment="1" applyProtection="1">
      <alignment horizontal="center"/>
      <protection locked="0"/>
    </xf>
    <xf numFmtId="0" fontId="136" fillId="0" borderId="0" xfId="0" applyFont="1" applyAlignment="1">
      <alignment horizontal="center"/>
    </xf>
    <xf numFmtId="172" fontId="15" fillId="0" borderId="0" xfId="254" applyFont="1"/>
    <xf numFmtId="0" fontId="15" fillId="0" borderId="0" xfId="260"/>
    <xf numFmtId="0" fontId="15" fillId="0" borderId="14" xfId="0" applyFont="1" applyBorder="1" applyAlignment="1">
      <alignment horizontal="center"/>
    </xf>
    <xf numFmtId="0" fontId="15" fillId="0" borderId="33" xfId="0" applyFont="1" applyBorder="1" applyAlignment="1">
      <alignment horizontal="center"/>
    </xf>
    <xf numFmtId="0" fontId="15" fillId="0" borderId="34" xfId="0" applyFont="1" applyBorder="1" applyAlignment="1">
      <alignment horizontal="center"/>
    </xf>
    <xf numFmtId="0" fontId="136" fillId="0" borderId="0" xfId="0" applyFont="1"/>
    <xf numFmtId="0" fontId="12" fillId="0" borderId="0" xfId="260" applyFont="1" applyAlignment="1">
      <alignment horizontal="center"/>
    </xf>
    <xf numFmtId="0" fontId="12" fillId="0" borderId="36" xfId="260" applyFont="1" applyBorder="1" applyAlignment="1">
      <alignment horizontal="center"/>
    </xf>
    <xf numFmtId="0" fontId="12" fillId="0" borderId="34" xfId="260" applyFont="1" applyBorder="1" applyAlignment="1">
      <alignment horizontal="center"/>
    </xf>
    <xf numFmtId="0" fontId="12" fillId="0" borderId="36" xfId="260" applyFont="1" applyBorder="1" applyAlignment="1">
      <alignment horizontal="center" wrapText="1"/>
    </xf>
    <xf numFmtId="0" fontId="12" fillId="0" borderId="0" xfId="260" applyFont="1" applyAlignment="1">
      <alignment horizontal="center" wrapText="1"/>
    </xf>
    <xf numFmtId="0" fontId="12" fillId="0" borderId="34" xfId="260" applyFont="1" applyBorder="1" applyAlignment="1">
      <alignment horizontal="center" wrapText="1"/>
    </xf>
    <xf numFmtId="0" fontId="15" fillId="0" borderId="34" xfId="0" applyFont="1" applyBorder="1" applyAlignment="1">
      <alignment horizontal="center" wrapText="1"/>
    </xf>
    <xf numFmtId="0" fontId="12" fillId="0" borderId="2" xfId="260" applyFont="1" applyBorder="1" applyAlignment="1">
      <alignment horizontal="centerContinuous" wrapText="1"/>
    </xf>
    <xf numFmtId="0" fontId="15" fillId="0" borderId="38" xfId="0" applyFont="1" applyBorder="1" applyAlignment="1">
      <alignment horizontal="center"/>
    </xf>
    <xf numFmtId="37" fontId="15" fillId="0" borderId="0" xfId="260" applyNumberFormat="1"/>
    <xf numFmtId="0" fontId="15" fillId="0" borderId="39" xfId="260" applyBorder="1" applyAlignment="1">
      <alignment horizontal="right"/>
    </xf>
    <xf numFmtId="0" fontId="15" fillId="0" borderId="40" xfId="0" applyFont="1" applyBorder="1" applyAlignment="1">
      <alignment horizontal="center"/>
    </xf>
    <xf numFmtId="0" fontId="15" fillId="0" borderId="35" xfId="260" applyBorder="1"/>
    <xf numFmtId="0" fontId="15" fillId="0" borderId="36" xfId="260" applyBorder="1"/>
    <xf numFmtId="0" fontId="15" fillId="0" borderId="36" xfId="260" quotePrefix="1" applyBorder="1" applyAlignment="1">
      <alignment horizontal="left"/>
    </xf>
    <xf numFmtId="3" fontId="27" fillId="0" borderId="11" xfId="211" applyNumberFormat="1" applyFont="1" applyBorder="1" applyAlignment="1">
      <alignment horizontal="center" wrapText="1"/>
    </xf>
    <xf numFmtId="0" fontId="12" fillId="0" borderId="37" xfId="260" applyFont="1" applyBorder="1" applyAlignment="1">
      <alignment horizontal="center" wrapText="1"/>
    </xf>
    <xf numFmtId="0" fontId="15" fillId="0" borderId="38" xfId="0" applyFont="1" applyBorder="1" applyAlignment="1">
      <alignment horizontal="center" wrapText="1"/>
    </xf>
    <xf numFmtId="0" fontId="12" fillId="0" borderId="0" xfId="260" applyFont="1" applyAlignment="1">
      <alignment horizontal="centerContinuous"/>
    </xf>
    <xf numFmtId="0" fontId="15" fillId="0" borderId="0" xfId="189"/>
    <xf numFmtId="0" fontId="15" fillId="0" borderId="0" xfId="260" applyAlignment="1">
      <alignment horizontal="left"/>
    </xf>
    <xf numFmtId="0" fontId="20" fillId="0" borderId="0" xfId="211" applyFont="1" applyAlignment="1">
      <alignment horizontal="center" vertical="center"/>
    </xf>
    <xf numFmtId="0" fontId="20" fillId="0" borderId="0" xfId="249" applyFont="1" applyAlignment="1">
      <alignment horizontal="center" vertical="center" wrapText="1"/>
    </xf>
    <xf numFmtId="0" fontId="20" fillId="0" borderId="0" xfId="211" quotePrefix="1" applyFont="1" applyAlignment="1">
      <alignment horizontal="center" vertical="center" wrapText="1"/>
    </xf>
    <xf numFmtId="0" fontId="20" fillId="0" borderId="0" xfId="211" applyFont="1" applyAlignment="1">
      <alignment horizontal="left" vertical="center"/>
    </xf>
    <xf numFmtId="173" fontId="0" fillId="0" borderId="11" xfId="86" applyNumberFormat="1" applyFont="1" applyFill="1" applyBorder="1"/>
    <xf numFmtId="173" fontId="66" fillId="0" borderId="0" xfId="86" applyNumberFormat="1" applyFont="1" applyFill="1" applyAlignment="1" applyProtection="1">
      <alignment horizontal="left"/>
      <protection locked="0"/>
    </xf>
    <xf numFmtId="173" fontId="66" fillId="0" borderId="11" xfId="86" applyNumberFormat="1" applyFont="1" applyFill="1" applyBorder="1" applyAlignment="1" applyProtection="1">
      <alignment horizontal="left"/>
      <protection locked="0"/>
    </xf>
    <xf numFmtId="0" fontId="18" fillId="0" borderId="0" xfId="0" applyFont="1" applyAlignment="1">
      <alignment horizontal="center"/>
    </xf>
    <xf numFmtId="0" fontId="18" fillId="0" borderId="0" xfId="0" applyFont="1" applyAlignment="1">
      <alignment horizontal="right"/>
    </xf>
    <xf numFmtId="0" fontId="99" fillId="0" borderId="0" xfId="260" applyFont="1" applyAlignment="1">
      <alignment horizontal="centerContinuous"/>
    </xf>
    <xf numFmtId="0" fontId="18" fillId="0" borderId="0" xfId="260" applyFont="1" applyAlignment="1">
      <alignment horizontal="left"/>
    </xf>
    <xf numFmtId="0" fontId="99" fillId="0" borderId="0" xfId="260" applyFont="1" applyAlignment="1">
      <alignment horizontal="center"/>
    </xf>
    <xf numFmtId="0" fontId="12" fillId="0" borderId="41" xfId="260" applyFont="1" applyBorder="1" applyAlignment="1">
      <alignment horizontal="center" wrapText="1"/>
    </xf>
    <xf numFmtId="0" fontId="18" fillId="0" borderId="0" xfId="0" applyFont="1" applyAlignment="1">
      <alignment wrapText="1"/>
    </xf>
    <xf numFmtId="0" fontId="12" fillId="0" borderId="10" xfId="260" applyFont="1" applyBorder="1" applyAlignment="1">
      <alignment horizontal="center"/>
    </xf>
    <xf numFmtId="0" fontId="137" fillId="0" borderId="0" xfId="0" applyFont="1"/>
    <xf numFmtId="3" fontId="27" fillId="0" borderId="33" xfId="211" applyNumberFormat="1" applyFont="1" applyBorder="1" applyAlignment="1">
      <alignment horizontal="center" wrapText="1"/>
    </xf>
    <xf numFmtId="3" fontId="27" fillId="0" borderId="42" xfId="211" applyNumberFormat="1" applyFont="1" applyBorder="1" applyAlignment="1">
      <alignment wrapText="1"/>
    </xf>
    <xf numFmtId="41" fontId="15" fillId="0" borderId="10" xfId="260" applyNumberFormat="1" applyBorder="1"/>
    <xf numFmtId="173" fontId="15" fillId="0" borderId="43" xfId="88" applyNumberFormat="1" applyFont="1" applyBorder="1"/>
    <xf numFmtId="3" fontId="27" fillId="0" borderId="42" xfId="211" applyNumberFormat="1" applyFont="1" applyBorder="1" applyAlignment="1">
      <alignment horizontal="center" wrapText="1"/>
    </xf>
    <xf numFmtId="0" fontId="18" fillId="0" borderId="0" xfId="260" applyFont="1"/>
    <xf numFmtId="37" fontId="18" fillId="0" borderId="0" xfId="260" applyNumberFormat="1" applyFont="1"/>
    <xf numFmtId="172" fontId="18" fillId="0" borderId="0" xfId="254" applyFont="1"/>
    <xf numFmtId="0" fontId="15" fillId="0" borderId="0" xfId="251" applyAlignment="1">
      <alignment vertical="top"/>
    </xf>
    <xf numFmtId="0" fontId="137" fillId="0" borderId="0" xfId="0" applyFont="1" applyAlignment="1">
      <alignment horizontal="center"/>
    </xf>
    <xf numFmtId="0" fontId="98" fillId="0" borderId="0" xfId="252" applyFont="1"/>
    <xf numFmtId="0" fontId="99" fillId="0" borderId="0" xfId="0" applyFont="1" applyAlignment="1">
      <alignment horizontal="center"/>
    </xf>
    <xf numFmtId="0" fontId="99" fillId="0" borderId="0" xfId="0" quotePrefix="1" applyFont="1" applyAlignment="1">
      <alignment horizontal="center"/>
    </xf>
    <xf numFmtId="0" fontId="12" fillId="0" borderId="0" xfId="252" applyFont="1" applyAlignment="1">
      <alignment horizontal="left"/>
    </xf>
    <xf numFmtId="173" fontId="15" fillId="0" borderId="0" xfId="88" applyNumberFormat="1" applyFont="1" applyFill="1" applyProtection="1"/>
    <xf numFmtId="0" fontId="15" fillId="0" borderId="0" xfId="252"/>
    <xf numFmtId="0" fontId="15" fillId="0" borderId="0" xfId="183"/>
    <xf numFmtId="0" fontId="15" fillId="0" borderId="0" xfId="252" applyAlignment="1">
      <alignment horizontal="left"/>
    </xf>
    <xf numFmtId="173" fontId="11" fillId="34" borderId="0" xfId="88" applyNumberFormat="1" applyFont="1" applyFill="1" applyProtection="1">
      <protection locked="0"/>
    </xf>
    <xf numFmtId="0" fontId="15" fillId="0" borderId="0" xfId="251" applyAlignment="1">
      <alignment horizontal="left"/>
    </xf>
    <xf numFmtId="173" fontId="11" fillId="0" borderId="0" xfId="88" applyNumberFormat="1" applyFont="1" applyFill="1" applyProtection="1">
      <protection locked="0"/>
    </xf>
    <xf numFmtId="10" fontId="15" fillId="0" borderId="0" xfId="267" applyNumberFormat="1" applyFont="1" applyFill="1" applyBorder="1" applyProtection="1"/>
    <xf numFmtId="10" fontId="12" fillId="0" borderId="0" xfId="267" applyNumberFormat="1" applyFont="1" applyFill="1" applyBorder="1" applyProtection="1"/>
    <xf numFmtId="0" fontId="12" fillId="0" borderId="0" xfId="252" applyFont="1"/>
    <xf numFmtId="173" fontId="15" fillId="0" borderId="0" xfId="267" applyNumberFormat="1" applyFont="1" applyFill="1" applyBorder="1" applyProtection="1"/>
    <xf numFmtId="10" fontId="12" fillId="0" borderId="44" xfId="267" applyNumberFormat="1" applyFont="1" applyFill="1" applyBorder="1" applyProtection="1"/>
    <xf numFmtId="0" fontId="108" fillId="0" borderId="0" xfId="183" applyFont="1" applyAlignment="1">
      <alignment horizontal="center"/>
    </xf>
    <xf numFmtId="0" fontId="18" fillId="0" borderId="0" xfId="252" applyFont="1"/>
    <xf numFmtId="41" fontId="12" fillId="0" borderId="0" xfId="252" applyNumberFormat="1" applyFont="1" applyAlignment="1">
      <alignment horizontal="center" wrapText="1"/>
    </xf>
    <xf numFmtId="0" fontId="11" fillId="34" borderId="0" xfId="252" applyFont="1" applyFill="1" applyProtection="1">
      <protection locked="0"/>
    </xf>
    <xf numFmtId="173" fontId="18" fillId="0" borderId="0" xfId="252" applyNumberFormat="1" applyFont="1"/>
    <xf numFmtId="197" fontId="11" fillId="34" borderId="0" xfId="252" applyNumberFormat="1" applyFont="1" applyFill="1" applyProtection="1">
      <protection locked="0"/>
    </xf>
    <xf numFmtId="37" fontId="11" fillId="34" borderId="0" xfId="252" applyNumberFormat="1" applyFont="1" applyFill="1" applyProtection="1">
      <protection locked="0"/>
    </xf>
    <xf numFmtId="173" fontId="11" fillId="34" borderId="0" xfId="252" applyNumberFormat="1" applyFont="1" applyFill="1" applyProtection="1">
      <protection locked="0"/>
    </xf>
    <xf numFmtId="0" fontId="88" fillId="34" borderId="0" xfId="252" applyFont="1" applyFill="1" applyProtection="1">
      <protection locked="0"/>
    </xf>
    <xf numFmtId="0" fontId="15" fillId="0" borderId="11" xfId="0" applyFont="1" applyBorder="1"/>
    <xf numFmtId="0" fontId="18" fillId="0" borderId="11" xfId="252" applyFont="1" applyBorder="1"/>
    <xf numFmtId="0" fontId="15" fillId="31" borderId="0" xfId="252" applyFill="1" applyAlignment="1">
      <alignment horizontal="left"/>
    </xf>
    <xf numFmtId="41" fontId="15" fillId="0" borderId="0" xfId="267" applyNumberFormat="1" applyFont="1" applyFill="1" applyBorder="1" applyProtection="1"/>
    <xf numFmtId="186" fontId="15" fillId="0" borderId="0" xfId="88" applyNumberFormat="1" applyFont="1" applyFill="1" applyBorder="1" applyProtection="1"/>
    <xf numFmtId="10" fontId="18" fillId="0" borderId="0" xfId="267" applyNumberFormat="1" applyFont="1" applyFill="1" applyProtection="1"/>
    <xf numFmtId="173" fontId="15" fillId="0" borderId="0" xfId="88" applyNumberFormat="1" applyFont="1" applyFill="1" applyBorder="1" applyProtection="1"/>
    <xf numFmtId="173" fontId="12" fillId="0" borderId="44" xfId="88" applyNumberFormat="1" applyFont="1" applyFill="1" applyBorder="1" applyProtection="1"/>
    <xf numFmtId="0" fontId="98" fillId="0" borderId="0" xfId="252" applyFont="1" applyAlignment="1">
      <alignment horizontal="left"/>
    </xf>
    <xf numFmtId="0" fontId="18" fillId="0" borderId="0" xfId="252" applyFont="1" applyAlignment="1">
      <alignment horizontal="left"/>
    </xf>
    <xf numFmtId="0" fontId="20" fillId="0" borderId="0" xfId="252" applyFont="1" applyAlignment="1">
      <alignment horizontal="left"/>
    </xf>
    <xf numFmtId="0" fontId="20" fillId="0" borderId="0" xfId="252" applyFont="1" applyAlignment="1">
      <alignment horizontal="center" wrapText="1"/>
    </xf>
    <xf numFmtId="164" fontId="11" fillId="34" borderId="0" xfId="267" applyNumberFormat="1" applyFont="1" applyFill="1" applyAlignment="1" applyProtection="1">
      <alignment horizontal="right" wrapText="1"/>
      <protection locked="0"/>
    </xf>
    <xf numFmtId="44" fontId="11" fillId="34" borderId="0" xfId="118" applyFont="1" applyFill="1" applyAlignment="1" applyProtection="1">
      <alignment horizontal="right" wrapText="1"/>
      <protection locked="0"/>
    </xf>
    <xf numFmtId="41" fontId="11" fillId="0" borderId="0" xfId="252" applyNumberFormat="1" applyFont="1"/>
    <xf numFmtId="173" fontId="15" fillId="0" borderId="0" xfId="88" applyNumberFormat="1" applyFill="1" applyProtection="1"/>
    <xf numFmtId="41" fontId="15" fillId="0" borderId="0" xfId="252" applyNumberFormat="1"/>
    <xf numFmtId="41" fontId="99" fillId="0" borderId="0" xfId="252" applyNumberFormat="1" applyFont="1"/>
    <xf numFmtId="41" fontId="15" fillId="0" borderId="12" xfId="252" applyNumberFormat="1" applyBorder="1"/>
    <xf numFmtId="41" fontId="12" fillId="0" borderId="41" xfId="252" applyNumberFormat="1" applyFont="1" applyBorder="1"/>
    <xf numFmtId="3" fontId="0" fillId="0" borderId="0" xfId="0" applyNumberFormat="1"/>
    <xf numFmtId="0" fontId="16" fillId="0" borderId="0" xfId="0" applyFont="1" applyAlignment="1">
      <alignment horizontal="center"/>
    </xf>
    <xf numFmtId="3" fontId="0" fillId="0" borderId="0" xfId="0" applyNumberFormat="1" applyAlignment="1">
      <alignment horizontal="centerContinuous"/>
    </xf>
    <xf numFmtId="3" fontId="16" fillId="0" borderId="0" xfId="0" applyNumberFormat="1" applyFont="1" applyAlignment="1">
      <alignment horizontal="centerContinuous"/>
    </xf>
    <xf numFmtId="3" fontId="15" fillId="0" borderId="0" xfId="0" applyNumberFormat="1" applyFont="1" applyAlignment="1">
      <alignment horizontal="centerContinuous"/>
    </xf>
    <xf numFmtId="3" fontId="0" fillId="0" borderId="45" xfId="0" applyNumberFormat="1" applyBorder="1"/>
    <xf numFmtId="3" fontId="0" fillId="0" borderId="0" xfId="0" applyNumberFormat="1" applyAlignment="1">
      <alignment horizontal="left"/>
    </xf>
    <xf numFmtId="37" fontId="0" fillId="0" borderId="0" xfId="0" applyNumberFormat="1"/>
    <xf numFmtId="37" fontId="0" fillId="0" borderId="0" xfId="0" applyNumberFormat="1" applyAlignment="1">
      <alignment horizontal="center"/>
    </xf>
    <xf numFmtId="37" fontId="0" fillId="35" borderId="0" xfId="0" applyNumberFormat="1" applyFill="1"/>
    <xf numFmtId="37" fontId="0" fillId="0" borderId="45" xfId="0" applyNumberFormat="1" applyBorder="1"/>
    <xf numFmtId="37" fontId="0" fillId="0" borderId="46" xfId="0" applyNumberFormat="1" applyBorder="1"/>
    <xf numFmtId="37" fontId="0" fillId="36" borderId="0" xfId="0" applyNumberFormat="1" applyFill="1"/>
    <xf numFmtId="37" fontId="15" fillId="0" borderId="0" xfId="0" applyNumberFormat="1" applyFont="1"/>
    <xf numFmtId="3" fontId="0" fillId="0" borderId="0" xfId="0" applyNumberFormat="1" applyAlignment="1" applyProtection="1">
      <alignment horizontal="center"/>
      <protection locked="0"/>
    </xf>
    <xf numFmtId="3" fontId="0" fillId="0" borderId="0" xfId="0" applyNumberFormat="1" applyAlignment="1">
      <alignment horizontal="center"/>
    </xf>
    <xf numFmtId="3" fontId="0" fillId="0" borderId="0" xfId="0" applyNumberFormat="1" applyProtection="1">
      <protection locked="0"/>
    </xf>
    <xf numFmtId="37" fontId="0" fillId="0" borderId="14" xfId="0" applyNumberFormat="1" applyBorder="1"/>
    <xf numFmtId="37" fontId="163" fillId="0" borderId="46" xfId="0" applyNumberFormat="1" applyFont="1" applyBorder="1"/>
    <xf numFmtId="37" fontId="163" fillId="0" borderId="0" xfId="0" applyNumberFormat="1" applyFont="1"/>
    <xf numFmtId="187" fontId="15" fillId="0" borderId="0" xfId="249" applyNumberFormat="1" applyFont="1"/>
    <xf numFmtId="3" fontId="15" fillId="0" borderId="0" xfId="0" applyNumberFormat="1" applyFont="1" applyAlignment="1">
      <alignment horizontal="center"/>
    </xf>
    <xf numFmtId="4" fontId="15" fillId="0" borderId="0" xfId="0" applyNumberFormat="1" applyFont="1" applyAlignment="1">
      <alignment horizontal="center"/>
    </xf>
    <xf numFmtId="0" fontId="164" fillId="0" borderId="0" xfId="257" applyNumberFormat="1" applyFont="1" applyAlignment="1" applyProtection="1">
      <alignment horizontal="center"/>
    </xf>
    <xf numFmtId="172" fontId="165" fillId="0" borderId="0" xfId="257" applyFont="1" applyProtection="1"/>
    <xf numFmtId="199" fontId="11" fillId="34" borderId="0" xfId="249" applyNumberFormat="1" applyFont="1" applyFill="1" applyProtection="1">
      <protection locked="0"/>
    </xf>
    <xf numFmtId="0" fontId="166" fillId="0" borderId="0" xfId="0" applyFont="1" applyAlignment="1">
      <alignment horizontal="left"/>
    </xf>
    <xf numFmtId="10" fontId="74" fillId="34" borderId="0" xfId="266" applyNumberFormat="1" applyFont="1" applyFill="1" applyAlignment="1" applyProtection="1">
      <alignment horizontal="center"/>
      <protection locked="0"/>
    </xf>
    <xf numFmtId="173" fontId="21" fillId="0" borderId="0" xfId="258" applyNumberFormat="1" applyFont="1"/>
    <xf numFmtId="0" fontId="21" fillId="0" borderId="0" xfId="258" applyFont="1" applyAlignment="1">
      <alignment horizontal="center" vertical="center"/>
    </xf>
    <xf numFmtId="0" fontId="21" fillId="0" borderId="0" xfId="258" applyFont="1" applyAlignment="1">
      <alignment vertical="center"/>
    </xf>
    <xf numFmtId="0" fontId="167" fillId="0" borderId="0" xfId="258" applyFont="1" applyAlignment="1">
      <alignment horizontal="right"/>
    </xf>
    <xf numFmtId="173" fontId="167" fillId="0" borderId="0" xfId="258" applyNumberFormat="1" applyFont="1"/>
    <xf numFmtId="0" fontId="21" fillId="0" borderId="0" xfId="258" applyFont="1" applyAlignment="1">
      <alignment horizontal="left" indent="2"/>
    </xf>
    <xf numFmtId="173" fontId="168" fillId="0" borderId="0" xfId="258" applyNumberFormat="1" applyFont="1"/>
    <xf numFmtId="0" fontId="142" fillId="0" borderId="0" xfId="258" applyFont="1" applyAlignment="1">
      <alignment horizontal="center"/>
    </xf>
    <xf numFmtId="0" fontId="142" fillId="0" borderId="0" xfId="258" applyFont="1"/>
    <xf numFmtId="0" fontId="143" fillId="0" borderId="0" xfId="258" applyFont="1"/>
    <xf numFmtId="173" fontId="142" fillId="0" borderId="0" xfId="258" applyNumberFormat="1" applyFont="1"/>
    <xf numFmtId="0" fontId="8" fillId="0" borderId="0" xfId="257" applyNumberFormat="1" applyFont="1" applyAlignment="1" applyProtection="1">
      <alignment horizontal="left" wrapText="1"/>
    </xf>
    <xf numFmtId="0" fontId="169" fillId="0" borderId="11" xfId="258" applyFont="1" applyBorder="1" applyAlignment="1">
      <alignment horizontal="center"/>
    </xf>
    <xf numFmtId="0" fontId="169" fillId="0" borderId="2" xfId="258" applyFont="1" applyBorder="1" applyAlignment="1">
      <alignment horizontal="center"/>
    </xf>
    <xf numFmtId="0" fontId="77" fillId="0" borderId="0" xfId="258" applyFont="1" applyAlignment="1">
      <alignment horizontal="center" vertical="center"/>
    </xf>
    <xf numFmtId="0" fontId="21" fillId="0" borderId="11" xfId="258" applyFont="1" applyBorder="1" applyAlignment="1">
      <alignment horizontal="center"/>
    </xf>
    <xf numFmtId="0" fontId="21" fillId="0" borderId="11" xfId="258" applyFont="1" applyBorder="1"/>
    <xf numFmtId="173" fontId="81" fillId="0" borderId="11" xfId="258" applyNumberFormat="1" applyFont="1" applyBorder="1" applyProtection="1">
      <protection locked="0"/>
    </xf>
    <xf numFmtId="173" fontId="74" fillId="0" borderId="11" xfId="258" applyNumberFormat="1" applyFont="1" applyBorder="1"/>
    <xf numFmtId="0" fontId="74" fillId="0" borderId="11" xfId="258" applyFont="1" applyBorder="1" applyAlignment="1" applyProtection="1">
      <alignment horizontal="center"/>
      <protection locked="0"/>
    </xf>
    <xf numFmtId="173" fontId="74" fillId="0" borderId="11" xfId="86" applyNumberFormat="1" applyFont="1" applyFill="1" applyBorder="1" applyAlignment="1" applyProtection="1">
      <alignment horizontal="center"/>
      <protection locked="0"/>
    </xf>
    <xf numFmtId="0" fontId="144" fillId="0" borderId="0" xfId="257" applyNumberFormat="1" applyFont="1" applyAlignment="1" applyProtection="1">
      <alignment horizontal="center"/>
    </xf>
    <xf numFmtId="172" fontId="164" fillId="0" borderId="0" xfId="257" applyFont="1" applyProtection="1"/>
    <xf numFmtId="173" fontId="11" fillId="34" borderId="0" xfId="89" applyNumberFormat="1" applyFont="1" applyFill="1" applyBorder="1" applyAlignment="1" applyProtection="1">
      <alignment horizontal="left"/>
      <protection locked="0"/>
    </xf>
    <xf numFmtId="0" fontId="11" fillId="34" borderId="0" xfId="89" applyNumberFormat="1" applyFont="1" applyFill="1" applyBorder="1" applyAlignment="1" applyProtection="1">
      <alignment horizontal="center"/>
      <protection locked="0"/>
    </xf>
    <xf numFmtId="3" fontId="9" fillId="0" borderId="0" xfId="257" applyNumberFormat="1" applyFont="1" applyAlignment="1" applyProtection="1">
      <alignment horizontal="center" vertical="center"/>
    </xf>
    <xf numFmtId="3" fontId="17" fillId="0" borderId="0" xfId="257" applyNumberFormat="1" applyFont="1" applyAlignment="1" applyProtection="1">
      <alignment horizontal="center"/>
    </xf>
    <xf numFmtId="41" fontId="8" fillId="0" borderId="40" xfId="257" applyNumberFormat="1" applyFont="1" applyBorder="1" applyProtection="1"/>
    <xf numFmtId="0" fontId="66" fillId="0" borderId="0" xfId="0" applyFont="1"/>
    <xf numFmtId="3" fontId="12" fillId="0" borderId="0" xfId="0" applyNumberFormat="1" applyFont="1" applyAlignment="1">
      <alignment horizontal="left"/>
    </xf>
    <xf numFmtId="0" fontId="15" fillId="0" borderId="0" xfId="0" applyFont="1" applyAlignment="1">
      <alignment horizontal="left"/>
    </xf>
    <xf numFmtId="0" fontId="16" fillId="0" borderId="0" xfId="0" applyFont="1" applyAlignment="1">
      <alignment horizontal="left"/>
    </xf>
    <xf numFmtId="0" fontId="15" fillId="0" borderId="0" xfId="0" applyFont="1" applyAlignment="1">
      <alignment vertical="top"/>
    </xf>
    <xf numFmtId="0" fontId="111" fillId="0" borderId="0" xfId="0" applyFont="1" applyAlignment="1">
      <alignment horizontal="center"/>
    </xf>
    <xf numFmtId="0" fontId="15" fillId="0" borderId="0" xfId="261" applyFont="1" applyAlignment="1">
      <alignment horizontal="center"/>
    </xf>
    <xf numFmtId="38" fontId="11" fillId="0" borderId="0" xfId="0" applyNumberFormat="1" applyFont="1" applyProtection="1">
      <protection locked="0"/>
    </xf>
    <xf numFmtId="0" fontId="9" fillId="0" borderId="0" xfId="250" applyFont="1"/>
    <xf numFmtId="0" fontId="76" fillId="0" borderId="0" xfId="258" applyFont="1" applyAlignment="1">
      <alignment vertical="center" wrapText="1"/>
    </xf>
    <xf numFmtId="0" fontId="9" fillId="0" borderId="0" xfId="249" quotePrefix="1" applyFont="1" applyAlignment="1">
      <alignment horizontal="center"/>
    </xf>
    <xf numFmtId="0" fontId="7" fillId="0" borderId="11" xfId="258" applyFont="1" applyBorder="1" applyAlignment="1">
      <alignment horizontal="center" wrapText="1"/>
    </xf>
    <xf numFmtId="0" fontId="7" fillId="0" borderId="11" xfId="258" applyFont="1" applyBorder="1" applyAlignment="1">
      <alignment horizontal="center" vertical="center"/>
    </xf>
    <xf numFmtId="185" fontId="7" fillId="0" borderId="11" xfId="258" applyNumberFormat="1" applyFont="1" applyBorder="1" applyAlignment="1">
      <alignment horizontal="center" vertical="center" wrapText="1"/>
    </xf>
    <xf numFmtId="0" fontId="7" fillId="0" borderId="11" xfId="258" applyFont="1" applyBorder="1" applyAlignment="1">
      <alignment horizontal="center" vertical="center" wrapText="1"/>
    </xf>
    <xf numFmtId="185" fontId="7" fillId="0" borderId="11" xfId="258" applyNumberFormat="1" applyFont="1" applyBorder="1" applyAlignment="1">
      <alignment horizontal="center" vertical="center"/>
    </xf>
    <xf numFmtId="0" fontId="15" fillId="0" borderId="0" xfId="0" applyFont="1" applyAlignment="1">
      <alignment vertical="center"/>
    </xf>
    <xf numFmtId="173" fontId="7" fillId="0" borderId="11" xfId="258" applyNumberFormat="1" applyFont="1" applyBorder="1" applyAlignment="1">
      <alignment vertical="center"/>
    </xf>
    <xf numFmtId="173" fontId="77" fillId="0" borderId="0" xfId="258" applyNumberFormat="1" applyFont="1" applyAlignment="1">
      <alignment vertical="center"/>
    </xf>
    <xf numFmtId="0" fontId="7" fillId="0" borderId="0" xfId="258" applyFont="1" applyAlignment="1">
      <alignment horizontal="right" vertical="center"/>
    </xf>
    <xf numFmtId="0" fontId="74" fillId="0" borderId="0" xfId="258" applyFont="1" applyAlignment="1">
      <alignment wrapText="1"/>
    </xf>
    <xf numFmtId="0" fontId="15" fillId="0" borderId="0" xfId="253" applyFont="1" applyAlignment="1">
      <alignment horizontal="left"/>
    </xf>
    <xf numFmtId="0" fontId="15" fillId="0" borderId="0" xfId="183" applyAlignment="1">
      <alignment wrapText="1"/>
    </xf>
    <xf numFmtId="173" fontId="74" fillId="0" borderId="0" xfId="86" applyNumberFormat="1" applyFont="1" applyFill="1" applyAlignment="1" applyProtection="1">
      <alignment horizontal="center"/>
      <protection locked="0"/>
    </xf>
    <xf numFmtId="173" fontId="15" fillId="0" borderId="0" xfId="258" applyNumberFormat="1" applyFont="1"/>
    <xf numFmtId="0" fontId="15" fillId="0" borderId="0" xfId="165"/>
    <xf numFmtId="0" fontId="114" fillId="0" borderId="0" xfId="259" applyFont="1" applyProtection="1">
      <protection locked="0"/>
    </xf>
    <xf numFmtId="0" fontId="80" fillId="0" borderId="0" xfId="259" applyFont="1"/>
    <xf numFmtId="0" fontId="116" fillId="0" borderId="0" xfId="259" applyFont="1" applyProtection="1">
      <protection locked="0"/>
    </xf>
    <xf numFmtId="0" fontId="117" fillId="0" borderId="0" xfId="259" applyFont="1" applyProtection="1">
      <protection locked="0"/>
    </xf>
    <xf numFmtId="176" fontId="114" fillId="0" borderId="0" xfId="259" applyNumberFormat="1" applyFont="1" applyProtection="1">
      <protection locked="0"/>
    </xf>
    <xf numFmtId="0" fontId="114" fillId="0" borderId="15" xfId="259" applyFont="1" applyBorder="1" applyProtection="1">
      <protection locked="0"/>
    </xf>
    <xf numFmtId="0" fontId="119" fillId="0" borderId="0" xfId="259" applyFont="1" applyProtection="1">
      <protection locked="0"/>
    </xf>
    <xf numFmtId="0" fontId="120" fillId="0" borderId="0" xfId="259" applyFont="1"/>
    <xf numFmtId="0" fontId="121" fillId="0" borderId="0" xfId="259" applyFont="1"/>
    <xf numFmtId="0" fontId="146" fillId="0" borderId="0" xfId="259" applyFont="1" applyAlignment="1">
      <alignment horizontal="center"/>
    </xf>
    <xf numFmtId="0" fontId="15" fillId="0" borderId="0" xfId="165" applyAlignment="1">
      <alignment wrapText="1"/>
    </xf>
    <xf numFmtId="10" fontId="6" fillId="0" borderId="0" xfId="259" applyNumberFormat="1" applyAlignment="1">
      <alignment horizontal="center"/>
    </xf>
    <xf numFmtId="0" fontId="118" fillId="0" borderId="0" xfId="259" applyFont="1"/>
    <xf numFmtId="0" fontId="6" fillId="0" borderId="0" xfId="259" applyAlignment="1">
      <alignment horizontal="center"/>
    </xf>
    <xf numFmtId="10" fontId="6" fillId="0" borderId="0" xfId="259" applyNumberFormat="1" applyAlignment="1">
      <alignment horizontal="right"/>
    </xf>
    <xf numFmtId="195" fontId="80" fillId="0" borderId="0" xfId="259" applyNumberFormat="1" applyFont="1"/>
    <xf numFmtId="10" fontId="80" fillId="0" borderId="0" xfId="259" applyNumberFormat="1" applyFont="1"/>
    <xf numFmtId="0" fontId="118" fillId="0" borderId="30" xfId="259" applyFont="1" applyBorder="1"/>
    <xf numFmtId="0" fontId="114" fillId="0" borderId="30" xfId="259" applyFont="1" applyBorder="1" applyProtection="1">
      <protection locked="0"/>
    </xf>
    <xf numFmtId="10" fontId="6" fillId="0" borderId="30" xfId="259" applyNumberFormat="1" applyBorder="1"/>
    <xf numFmtId="0" fontId="8" fillId="0" borderId="0" xfId="0" applyFont="1" applyAlignment="1">
      <alignment horizontal="left" indent="1"/>
    </xf>
    <xf numFmtId="10" fontId="8" fillId="0" borderId="0" xfId="214" applyNumberFormat="1" applyFont="1" applyAlignment="1">
      <alignment horizontal="center"/>
    </xf>
    <xf numFmtId="0" fontId="9" fillId="0" borderId="0" xfId="183" applyFont="1" applyAlignment="1">
      <alignment horizontal="right"/>
    </xf>
    <xf numFmtId="10" fontId="8" fillId="0" borderId="0" xfId="214" applyNumberFormat="1" applyFont="1" applyAlignment="1">
      <alignment horizontal="right"/>
    </xf>
    <xf numFmtId="177" fontId="8" fillId="0" borderId="0" xfId="86" applyNumberFormat="1" applyFont="1" applyAlignment="1">
      <alignment horizontal="center"/>
    </xf>
    <xf numFmtId="0" fontId="15" fillId="0" borderId="32" xfId="0" applyFont="1" applyBorder="1" applyAlignment="1">
      <alignment horizontal="center"/>
    </xf>
    <xf numFmtId="0" fontId="15" fillId="0" borderId="31" xfId="260" applyBorder="1" applyAlignment="1">
      <alignment horizontal="right"/>
    </xf>
    <xf numFmtId="0" fontId="148" fillId="0" borderId="0" xfId="0" applyFont="1" applyAlignment="1">
      <alignment vertical="center"/>
    </xf>
    <xf numFmtId="0" fontId="149" fillId="0" borderId="0" xfId="0" applyFont="1"/>
    <xf numFmtId="0" fontId="144" fillId="0" borderId="0" xfId="0" applyFont="1"/>
    <xf numFmtId="0" fontId="144" fillId="0" borderId="0" xfId="0" applyFont="1" applyAlignment="1">
      <alignment horizontal="left"/>
    </xf>
    <xf numFmtId="0" fontId="144" fillId="0" borderId="0" xfId="211" applyFont="1" applyAlignment="1">
      <alignment horizontal="center"/>
    </xf>
    <xf numFmtId="0" fontId="149" fillId="0" borderId="0" xfId="0" applyFont="1" applyAlignment="1">
      <alignment horizontal="center"/>
    </xf>
    <xf numFmtId="0" fontId="150" fillId="0" borderId="0" xfId="211" applyFont="1"/>
    <xf numFmtId="0" fontId="144" fillId="0" borderId="0" xfId="211" applyFont="1" applyAlignment="1">
      <alignment horizontal="left"/>
    </xf>
    <xf numFmtId="0" fontId="144" fillId="0" borderId="0" xfId="211" applyFont="1"/>
    <xf numFmtId="3" fontId="144" fillId="0" borderId="0" xfId="0" applyNumberFormat="1" applyFont="1"/>
    <xf numFmtId="3" fontId="144" fillId="0" borderId="0" xfId="0" applyNumberFormat="1" applyFont="1" applyAlignment="1">
      <alignment horizontal="left"/>
    </xf>
    <xf numFmtId="0" fontId="151" fillId="0" borderId="0" xfId="0" applyFont="1" applyAlignment="1">
      <alignment horizontal="center"/>
    </xf>
    <xf numFmtId="0" fontId="152" fillId="0" borderId="0" xfId="0" applyFont="1"/>
    <xf numFmtId="0" fontId="151" fillId="0" borderId="0" xfId="0" applyFont="1" applyAlignment="1">
      <alignment wrapText="1"/>
    </xf>
    <xf numFmtId="0" fontId="151" fillId="0" borderId="0" xfId="0" applyFont="1"/>
    <xf numFmtId="41" fontId="149" fillId="0" borderId="0" xfId="0" applyNumberFormat="1" applyFont="1"/>
    <xf numFmtId="41" fontId="152" fillId="0" borderId="0" xfId="0" applyNumberFormat="1" applyFont="1"/>
    <xf numFmtId="0" fontId="153" fillId="0" borderId="0" xfId="0" applyFont="1" applyAlignment="1">
      <alignment horizontal="center"/>
    </xf>
    <xf numFmtId="0" fontId="154" fillId="0" borderId="0" xfId="0" applyFont="1" applyAlignment="1">
      <alignment horizontal="center"/>
    </xf>
    <xf numFmtId="0" fontId="155" fillId="0" borderId="0" xfId="0" applyFont="1" applyAlignment="1">
      <alignment horizontal="center"/>
    </xf>
    <xf numFmtId="173" fontId="149" fillId="0" borderId="0" xfId="0" applyNumberFormat="1" applyFont="1"/>
    <xf numFmtId="0" fontId="149" fillId="0" borderId="0" xfId="0" applyFont="1" applyAlignment="1">
      <alignment wrapText="1"/>
    </xf>
    <xf numFmtId="0" fontId="149" fillId="0" borderId="11" xfId="0" applyFont="1" applyBorder="1"/>
    <xf numFmtId="0" fontId="152" fillId="0" borderId="11" xfId="0" applyFont="1" applyBorder="1"/>
    <xf numFmtId="0" fontId="152" fillId="0" borderId="0" xfId="0" applyFont="1" applyAlignment="1">
      <alignment horizontal="center"/>
    </xf>
    <xf numFmtId="191" fontId="152" fillId="0" borderId="0" xfId="111" applyNumberFormat="1" applyFont="1" applyAlignment="1">
      <alignment horizontal="center"/>
    </xf>
    <xf numFmtId="173" fontId="149" fillId="0" borderId="14" xfId="0" applyNumberFormat="1" applyFont="1" applyBorder="1"/>
    <xf numFmtId="173" fontId="152" fillId="0" borderId="14" xfId="0" applyNumberFormat="1" applyFont="1" applyBorder="1"/>
    <xf numFmtId="41" fontId="149" fillId="0" borderId="14" xfId="0" applyNumberFormat="1" applyFont="1" applyBorder="1"/>
    <xf numFmtId="43" fontId="152" fillId="0" borderId="0" xfId="0" applyNumberFormat="1" applyFont="1"/>
    <xf numFmtId="0" fontId="152" fillId="0" borderId="0" xfId="0" applyFont="1" applyAlignment="1">
      <alignment wrapText="1"/>
    </xf>
    <xf numFmtId="0" fontId="151" fillId="0" borderId="0" xfId="0" applyFont="1" applyAlignment="1">
      <alignment horizontal="center" wrapText="1"/>
    </xf>
    <xf numFmtId="43" fontId="151" fillId="0" borderId="0" xfId="111" applyFont="1" applyAlignment="1">
      <alignment horizontal="center" wrapText="1"/>
    </xf>
    <xf numFmtId="173" fontId="149" fillId="0" borderId="0" xfId="111" applyNumberFormat="1" applyFont="1"/>
    <xf numFmtId="173" fontId="151" fillId="0" borderId="0" xfId="111" applyNumberFormat="1" applyFont="1" applyAlignment="1">
      <alignment horizontal="center" wrapText="1"/>
    </xf>
    <xf numFmtId="173" fontId="151" fillId="0" borderId="0" xfId="111" applyNumberFormat="1" applyFont="1"/>
    <xf numFmtId="173" fontId="151" fillId="0" borderId="0" xfId="111" applyNumberFormat="1" applyFont="1" applyAlignment="1">
      <alignment horizontal="center"/>
    </xf>
    <xf numFmtId="0" fontId="8" fillId="0" borderId="0" xfId="257" applyNumberFormat="1" applyFont="1" applyAlignment="1" applyProtection="1">
      <alignment horizontal="left" indent="4"/>
    </xf>
    <xf numFmtId="41" fontId="22" fillId="0" borderId="0" xfId="257" applyNumberFormat="1" applyFont="1" applyProtection="1">
      <protection locked="0"/>
    </xf>
    <xf numFmtId="173" fontId="66" fillId="0" borderId="0" xfId="86" applyNumberFormat="1" applyFont="1"/>
    <xf numFmtId="0" fontId="66" fillId="0" borderId="0" xfId="211" applyFont="1"/>
    <xf numFmtId="173" fontId="66" fillId="0" borderId="0" xfId="86" applyNumberFormat="1" applyFont="1" applyFill="1"/>
    <xf numFmtId="37" fontId="66" fillId="0" borderId="16" xfId="0" applyNumberFormat="1" applyFont="1" applyBorder="1"/>
    <xf numFmtId="0" fontId="77" fillId="34" borderId="0" xfId="258" applyFont="1" applyFill="1"/>
    <xf numFmtId="10" fontId="74" fillId="34" borderId="0" xfId="258" applyNumberFormat="1" applyFont="1" applyFill="1" applyAlignment="1" applyProtection="1">
      <alignment horizontal="right"/>
      <protection locked="0"/>
    </xf>
    <xf numFmtId="0" fontId="66" fillId="0" borderId="0" xfId="249" applyFont="1"/>
    <xf numFmtId="3" fontId="66" fillId="34" borderId="0" xfId="0" applyNumberFormat="1" applyFont="1" applyFill="1" applyProtection="1">
      <protection locked="0"/>
    </xf>
    <xf numFmtId="0" fontId="66" fillId="34" borderId="0" xfId="0" applyFont="1" applyFill="1" applyAlignment="1" applyProtection="1">
      <alignment horizontal="left"/>
      <protection locked="0"/>
    </xf>
    <xf numFmtId="3" fontId="66" fillId="34" borderId="0" xfId="0" quotePrefix="1" applyNumberFormat="1" applyFont="1" applyFill="1" applyProtection="1">
      <protection locked="0"/>
    </xf>
    <xf numFmtId="0" fontId="66" fillId="34" borderId="0" xfId="0" applyFont="1" applyFill="1" applyProtection="1">
      <protection locked="0"/>
    </xf>
    <xf numFmtId="0" fontId="66" fillId="34" borderId="0" xfId="0" quotePrefix="1" applyFont="1" applyFill="1" applyProtection="1">
      <protection locked="0"/>
    </xf>
    <xf numFmtId="41" fontId="22" fillId="34" borderId="0" xfId="251" applyNumberFormat="1" applyFont="1" applyFill="1" applyProtection="1">
      <protection locked="0"/>
    </xf>
    <xf numFmtId="0" fontId="8" fillId="0" borderId="0" xfId="165" applyFont="1"/>
    <xf numFmtId="41" fontId="81" fillId="34" borderId="11" xfId="258" applyNumberFormat="1" applyFont="1" applyFill="1" applyBorder="1" applyProtection="1">
      <protection locked="0"/>
    </xf>
    <xf numFmtId="173" fontId="11" fillId="30" borderId="0" xfId="109" applyNumberFormat="1" applyFont="1" applyFill="1" applyAlignment="1" applyProtection="1">
      <protection locked="0"/>
    </xf>
    <xf numFmtId="0" fontId="11" fillId="34" borderId="0" xfId="251" applyFont="1" applyFill="1" applyProtection="1">
      <protection locked="0"/>
    </xf>
    <xf numFmtId="9" fontId="8" fillId="0" borderId="0" xfId="0" applyNumberFormat="1" applyFont="1"/>
    <xf numFmtId="173" fontId="5" fillId="0" borderId="0" xfId="86" applyNumberFormat="1" applyFill="1"/>
    <xf numFmtId="0" fontId="81" fillId="34" borderId="0" xfId="258" applyFont="1" applyFill="1" applyProtection="1">
      <protection locked="0"/>
    </xf>
    <xf numFmtId="10" fontId="74" fillId="34" borderId="0" xfId="266" applyNumberFormat="1" applyFont="1" applyFill="1" applyAlignment="1" applyProtection="1">
      <alignment horizontal="left" indent="1"/>
      <protection locked="0"/>
    </xf>
    <xf numFmtId="0" fontId="11" fillId="34" borderId="0" xfId="89" quotePrefix="1" applyNumberFormat="1" applyFont="1" applyFill="1" applyBorder="1" applyAlignment="1" applyProtection="1">
      <alignment horizontal="center"/>
      <protection locked="0"/>
    </xf>
    <xf numFmtId="0" fontId="80" fillId="0" borderId="30" xfId="259" applyFont="1" applyBorder="1" applyAlignment="1">
      <alignment horizontal="center"/>
    </xf>
    <xf numFmtId="0" fontId="118" fillId="0" borderId="15" xfId="0" applyFont="1" applyBorder="1"/>
    <xf numFmtId="0" fontId="114" fillId="0" borderId="15" xfId="0" applyFont="1" applyBorder="1" applyProtection="1">
      <protection locked="0"/>
    </xf>
    <xf numFmtId="193" fontId="0" fillId="0" borderId="15" xfId="0" applyNumberFormat="1" applyBorder="1"/>
    <xf numFmtId="176" fontId="0" fillId="0" borderId="15" xfId="0" applyNumberFormat="1" applyBorder="1"/>
    <xf numFmtId="176" fontId="0" fillId="0" borderId="15" xfId="0" applyNumberFormat="1" applyBorder="1" applyAlignment="1">
      <alignment horizontal="center"/>
    </xf>
    <xf numFmtId="0" fontId="118" fillId="0" borderId="30" xfId="0" applyFont="1" applyBorder="1"/>
    <xf numFmtId="0" fontId="114" fillId="0" borderId="30" xfId="0" applyFont="1" applyBorder="1" applyProtection="1">
      <protection locked="0"/>
    </xf>
    <xf numFmtId="10" fontId="0" fillId="0" borderId="30" xfId="0" applyNumberFormat="1" applyBorder="1"/>
    <xf numFmtId="193" fontId="0" fillId="0" borderId="30" xfId="0" applyNumberFormat="1" applyBorder="1"/>
    <xf numFmtId="176" fontId="0" fillId="0" borderId="30" xfId="0" applyNumberFormat="1" applyBorder="1"/>
    <xf numFmtId="0" fontId="27" fillId="0" borderId="0" xfId="337" applyFont="1"/>
    <xf numFmtId="0" fontId="27" fillId="0" borderId="0" xfId="337" applyFont="1" applyAlignment="1">
      <alignment horizontal="center"/>
    </xf>
    <xf numFmtId="0" fontId="27" fillId="0" borderId="0" xfId="338" applyFont="1"/>
    <xf numFmtId="172" fontId="172" fillId="0" borderId="0" xfId="352"/>
    <xf numFmtId="0" fontId="27" fillId="0" borderId="0" xfId="351" applyFont="1"/>
    <xf numFmtId="0" fontId="27" fillId="0" borderId="0" xfId="351" applyFont="1" applyAlignment="1">
      <alignment horizontal="center"/>
    </xf>
    <xf numFmtId="14" fontId="27" fillId="0" borderId="0" xfId="351" applyNumberFormat="1" applyFont="1"/>
    <xf numFmtId="9" fontId="27" fillId="0" borderId="0" xfId="339" applyFont="1"/>
    <xf numFmtId="41" fontId="27" fillId="0" borderId="0" xfId="351" applyNumberFormat="1" applyFont="1"/>
    <xf numFmtId="10" fontId="27" fillId="0" borderId="0" xfId="340" applyNumberFormat="1" applyFont="1"/>
    <xf numFmtId="172" fontId="27" fillId="0" borderId="0" xfId="352" applyFont="1"/>
    <xf numFmtId="0" fontId="28" fillId="0" borderId="0" xfId="351" applyFont="1"/>
    <xf numFmtId="0" fontId="27" fillId="0" borderId="11" xfId="351" applyFont="1" applyBorder="1"/>
    <xf numFmtId="0" fontId="28" fillId="0" borderId="0" xfId="351" applyFont="1" applyAlignment="1">
      <alignment horizontal="center"/>
    </xf>
    <xf numFmtId="0" fontId="28" fillId="0" borderId="0" xfId="351" applyFont="1" applyAlignment="1">
      <alignment horizontal="center" wrapText="1"/>
    </xf>
    <xf numFmtId="0" fontId="28" fillId="0" borderId="0" xfId="351" applyFont="1" applyAlignment="1">
      <alignment horizontal="left"/>
    </xf>
    <xf numFmtId="0" fontId="27" fillId="37" borderId="0" xfId="351" applyFont="1" applyFill="1"/>
    <xf numFmtId="41" fontId="27" fillId="34" borderId="0" xfId="249" applyNumberFormat="1" applyFont="1" applyFill="1" applyProtection="1">
      <protection locked="0"/>
    </xf>
    <xf numFmtId="41" fontId="27" fillId="0" borderId="0" xfId="351" applyNumberFormat="1" applyFont="1" applyAlignment="1">
      <alignment horizontal="center"/>
    </xf>
    <xf numFmtId="173" fontId="27" fillId="0" borderId="0" xfId="354" applyNumberFormat="1" applyFont="1" applyBorder="1" applyAlignment="1">
      <alignment horizontal="center"/>
    </xf>
    <xf numFmtId="173" fontId="27" fillId="0" borderId="0" xfId="350" applyNumberFormat="1" applyFont="1" applyFill="1" applyBorder="1"/>
    <xf numFmtId="0" fontId="27" fillId="0" borderId="0" xfId="351" applyFont="1" applyAlignment="1">
      <alignment wrapText="1"/>
    </xf>
    <xf numFmtId="173" fontId="27" fillId="38" borderId="0" xfId="350" applyNumberFormat="1" applyFont="1" applyFill="1" applyBorder="1"/>
    <xf numFmtId="173" fontId="27" fillId="0" borderId="0" xfId="350" applyNumberFormat="1" applyFont="1" applyBorder="1" applyAlignment="1">
      <alignment wrapText="1"/>
    </xf>
    <xf numFmtId="173" fontId="27" fillId="0" borderId="0" xfId="350" applyNumberFormat="1" applyFont="1" applyAlignment="1">
      <alignment wrapText="1"/>
    </xf>
    <xf numFmtId="1" fontId="27" fillId="0" borderId="0" xfId="354" applyNumberFormat="1" applyFont="1" applyBorder="1" applyAlignment="1"/>
    <xf numFmtId="177" fontId="27" fillId="0" borderId="0" xfId="354" applyNumberFormat="1" applyFont="1" applyBorder="1" applyAlignment="1"/>
    <xf numFmtId="173" fontId="27" fillId="0" borderId="1" xfId="354" applyNumberFormat="1" applyFont="1" applyBorder="1" applyAlignment="1">
      <alignment horizontal="center"/>
    </xf>
    <xf numFmtId="173" fontId="27" fillId="0" borderId="0" xfId="354" applyNumberFormat="1" applyFont="1" applyBorder="1" applyAlignment="1"/>
    <xf numFmtId="0" fontId="27" fillId="0" borderId="0" xfId="351" applyFont="1" applyAlignment="1">
      <alignment horizontal="left" vertical="center"/>
    </xf>
    <xf numFmtId="0" fontId="27" fillId="0" borderId="0" xfId="351" applyFont="1" applyAlignment="1">
      <alignment horizontal="left"/>
    </xf>
    <xf numFmtId="49" fontId="27" fillId="0" borderId="0" xfId="351" applyNumberFormat="1" applyFont="1" applyAlignment="1">
      <alignment horizontal="center"/>
    </xf>
    <xf numFmtId="41" fontId="27" fillId="34" borderId="34" xfId="249" applyNumberFormat="1" applyFont="1" applyFill="1" applyBorder="1" applyAlignment="1" applyProtection="1">
      <alignment vertical="top"/>
      <protection locked="0"/>
    </xf>
    <xf numFmtId="0" fontId="5" fillId="0" borderId="0" xfId="351" applyFont="1" applyAlignment="1">
      <alignment horizontal="right"/>
    </xf>
    <xf numFmtId="41" fontId="27" fillId="34" borderId="42" xfId="249" applyNumberFormat="1" applyFont="1" applyFill="1" applyBorder="1" applyProtection="1">
      <protection locked="0"/>
    </xf>
    <xf numFmtId="173" fontId="27" fillId="38" borderId="33" xfId="350" applyNumberFormat="1" applyFont="1" applyFill="1" applyBorder="1"/>
    <xf numFmtId="172" fontId="27" fillId="0" borderId="0" xfId="338" applyNumberFormat="1" applyFont="1"/>
    <xf numFmtId="172" fontId="174" fillId="0" borderId="0" xfId="352" applyFont="1"/>
    <xf numFmtId="173" fontId="28" fillId="0" borderId="0" xfId="351" applyNumberFormat="1" applyFont="1" applyAlignment="1">
      <alignment horizontal="center"/>
    </xf>
    <xf numFmtId="173" fontId="156" fillId="34" borderId="0" xfId="387" applyNumberFormat="1" applyFont="1" applyFill="1" applyProtection="1">
      <protection locked="0"/>
    </xf>
    <xf numFmtId="41" fontId="152" fillId="0" borderId="0" xfId="499" applyNumberFormat="1" applyFont="1"/>
    <xf numFmtId="176" fontId="126" fillId="34" borderId="0" xfId="340" applyNumberFormat="1" applyFont="1" applyFill="1" applyProtection="1">
      <protection locked="0"/>
    </xf>
    <xf numFmtId="41" fontId="30" fillId="0" borderId="11" xfId="249" applyNumberFormat="1" applyFont="1" applyBorder="1"/>
    <xf numFmtId="41" fontId="81" fillId="36" borderId="11" xfId="258" applyNumberFormat="1" applyFont="1" applyFill="1" applyBorder="1" applyProtection="1">
      <protection locked="0"/>
    </xf>
    <xf numFmtId="41" fontId="27" fillId="34" borderId="34" xfId="249" applyNumberFormat="1" applyFont="1" applyFill="1" applyBorder="1" applyAlignment="1" applyProtection="1">
      <alignment horizontal="left" vertical="center" wrapText="1"/>
      <protection locked="0"/>
    </xf>
    <xf numFmtId="5" fontId="81" fillId="36" borderId="11" xfId="258" applyNumberFormat="1" applyFont="1" applyFill="1" applyBorder="1" applyProtection="1">
      <protection locked="0"/>
    </xf>
    <xf numFmtId="0" fontId="5" fillId="0" borderId="0" xfId="338"/>
    <xf numFmtId="10" fontId="0" fillId="0" borderId="15" xfId="0" applyNumberFormat="1" applyBorder="1" applyAlignment="1">
      <alignment horizontal="center"/>
    </xf>
    <xf numFmtId="0" fontId="118" fillId="0" borderId="0" xfId="0" applyFont="1"/>
    <xf numFmtId="0" fontId="114" fillId="0" borderId="0" xfId="0" applyFont="1" applyProtection="1">
      <protection locked="0"/>
    </xf>
    <xf numFmtId="0" fontId="177" fillId="0" borderId="0" xfId="0" applyFont="1" applyAlignment="1">
      <alignment horizontal="center"/>
    </xf>
    <xf numFmtId="0" fontId="8" fillId="0" borderId="0" xfId="728" applyFont="1"/>
    <xf numFmtId="0" fontId="5" fillId="0" borderId="0" xfId="728"/>
    <xf numFmtId="0" fontId="5" fillId="0" borderId="0" xfId="728" applyAlignment="1">
      <alignment horizontal="center"/>
    </xf>
    <xf numFmtId="0" fontId="5" fillId="0" borderId="0" xfId="0" applyFont="1" applyAlignment="1">
      <alignment horizontal="center"/>
    </xf>
    <xf numFmtId="0" fontId="12" fillId="0" borderId="0" xfId="252" applyFont="1" applyAlignment="1">
      <alignment horizontal="center" wrapText="1"/>
    </xf>
    <xf numFmtId="0" fontId="5" fillId="0" borderId="0" xfId="258" applyFont="1"/>
    <xf numFmtId="41" fontId="22" fillId="34" borderId="6" xfId="249" applyNumberFormat="1" applyFont="1" applyFill="1" applyBorder="1" applyProtection="1">
      <protection locked="0"/>
    </xf>
    <xf numFmtId="10" fontId="22" fillId="34" borderId="0" xfId="266" applyNumberFormat="1" applyFont="1" applyFill="1" applyProtection="1">
      <protection locked="0"/>
    </xf>
    <xf numFmtId="37" fontId="0" fillId="0" borderId="47" xfId="0" applyNumberFormat="1" applyBorder="1"/>
    <xf numFmtId="41" fontId="131" fillId="34" borderId="0" xfId="251" applyNumberFormat="1" applyFont="1" applyFill="1" applyProtection="1">
      <protection locked="0"/>
    </xf>
    <xf numFmtId="173" fontId="74" fillId="0" borderId="14" xfId="86" applyNumberFormat="1" applyFont="1" applyFill="1" applyBorder="1"/>
    <xf numFmtId="173" fontId="15" fillId="0" borderId="32" xfId="88" applyNumberFormat="1" applyFont="1" applyFill="1" applyBorder="1"/>
    <xf numFmtId="173" fontId="15" fillId="0" borderId="14" xfId="88" applyNumberFormat="1" applyFont="1" applyFill="1" applyBorder="1"/>
    <xf numFmtId="173" fontId="11" fillId="30" borderId="6" xfId="109" applyNumberFormat="1" applyFont="1" applyFill="1" applyBorder="1" applyAlignment="1" applyProtection="1">
      <protection locked="0"/>
    </xf>
    <xf numFmtId="173" fontId="156" fillId="0" borderId="0" xfId="112" applyNumberFormat="1" applyFont="1" applyFill="1" applyProtection="1">
      <protection locked="0"/>
    </xf>
    <xf numFmtId="10" fontId="149" fillId="0" borderId="0" xfId="287" applyNumberFormat="1" applyFont="1" applyFill="1"/>
    <xf numFmtId="164" fontId="149" fillId="0" borderId="0" xfId="340" applyNumberFormat="1" applyFont="1" applyFill="1" applyProtection="1">
      <protection locked="0"/>
    </xf>
    <xf numFmtId="173" fontId="149" fillId="0" borderId="0" xfId="111" applyNumberFormat="1" applyFont="1" applyFill="1"/>
    <xf numFmtId="173" fontId="149" fillId="0" borderId="11" xfId="0" applyNumberFormat="1" applyFont="1" applyBorder="1"/>
    <xf numFmtId="164" fontId="149" fillId="0" borderId="11" xfId="340" applyNumberFormat="1" applyFont="1" applyFill="1" applyBorder="1" applyProtection="1">
      <protection locked="0"/>
    </xf>
    <xf numFmtId="173" fontId="149" fillId="0" borderId="11" xfId="111" applyNumberFormat="1" applyFont="1" applyFill="1" applyBorder="1"/>
    <xf numFmtId="194" fontId="22" fillId="34" borderId="0" xfId="86" applyNumberFormat="1" applyFont="1" applyFill="1" applyProtection="1">
      <protection locked="0"/>
    </xf>
    <xf numFmtId="41" fontId="22" fillId="34" borderId="11" xfId="251" applyNumberFormat="1" applyFont="1" applyFill="1" applyBorder="1" applyProtection="1">
      <protection locked="0"/>
    </xf>
    <xf numFmtId="41" fontId="11" fillId="39" borderId="0" xfId="249" applyNumberFormat="1" applyFont="1" applyFill="1" applyProtection="1">
      <protection locked="0"/>
    </xf>
    <xf numFmtId="37" fontId="0" fillId="39" borderId="0" xfId="0" applyNumberFormat="1" applyFill="1"/>
    <xf numFmtId="41" fontId="11" fillId="0" borderId="0" xfId="249" applyNumberFormat="1" applyFont="1" applyProtection="1">
      <protection locked="0"/>
    </xf>
    <xf numFmtId="2" fontId="5" fillId="0" borderId="0" xfId="729" applyNumberFormat="1" applyFont="1"/>
    <xf numFmtId="172" fontId="5" fillId="0" borderId="0" xfId="729" applyFont="1"/>
    <xf numFmtId="172" fontId="8" fillId="0" borderId="0" xfId="729" applyFont="1" applyAlignment="1">
      <alignment horizontal="right"/>
    </xf>
    <xf numFmtId="172" fontId="27" fillId="0" borderId="0" xfId="730" applyFont="1" applyAlignment="1">
      <alignment horizontal="right"/>
    </xf>
    <xf numFmtId="173" fontId="5" fillId="0" borderId="0" xfId="731" applyNumberFormat="1" applyFont="1"/>
    <xf numFmtId="2" fontId="5" fillId="0" borderId="0" xfId="732" applyNumberFormat="1" applyFont="1"/>
    <xf numFmtId="172" fontId="5" fillId="0" borderId="0" xfId="729" applyFont="1" applyAlignment="1">
      <alignment horizontal="right"/>
    </xf>
    <xf numFmtId="172" fontId="5" fillId="0" borderId="0" xfId="730" applyFont="1" applyAlignment="1">
      <alignment horizontal="right"/>
    </xf>
    <xf numFmtId="2" fontId="5" fillId="0" borderId="0" xfId="729" applyNumberFormat="1" applyFont="1" applyAlignment="1">
      <alignment horizontal="center"/>
    </xf>
    <xf numFmtId="172" fontId="5" fillId="0" borderId="0" xfId="729" applyFont="1" applyAlignment="1">
      <alignment horizontal="center"/>
    </xf>
    <xf numFmtId="173" fontId="5" fillId="0" borderId="0" xfId="731" applyNumberFormat="1" applyFont="1" applyAlignment="1">
      <alignment horizontal="center"/>
    </xf>
    <xf numFmtId="172" fontId="6" fillId="0" borderId="0" xfId="729"/>
    <xf numFmtId="172" fontId="5" fillId="0" borderId="0" xfId="729" applyFont="1" applyAlignment="1">
      <alignment horizontal="center" wrapText="1"/>
    </xf>
    <xf numFmtId="173" fontId="5" fillId="0" borderId="0" xfId="731" applyNumberFormat="1" applyFont="1" applyAlignment="1">
      <alignment horizontal="center" wrapText="1"/>
    </xf>
    <xf numFmtId="173" fontId="5" fillId="0" borderId="0" xfId="731" applyNumberFormat="1" applyFont="1" applyAlignment="1">
      <alignment wrapText="1"/>
    </xf>
    <xf numFmtId="2" fontId="12" fillId="0" borderId="0" xfId="729" applyNumberFormat="1" applyFont="1"/>
    <xf numFmtId="173" fontId="5" fillId="0" borderId="0" xfId="731" applyNumberFormat="1" applyFont="1" applyFill="1"/>
    <xf numFmtId="1" fontId="5" fillId="0" borderId="0" xfId="729" applyNumberFormat="1" applyFont="1" applyAlignment="1">
      <alignment horizontal="center"/>
    </xf>
    <xf numFmtId="49" fontId="5" fillId="0" borderId="0" xfId="731" applyNumberFormat="1" applyFont="1"/>
    <xf numFmtId="173" fontId="5" fillId="0" borderId="11" xfId="731" applyNumberFormat="1" applyFont="1" applyBorder="1"/>
    <xf numFmtId="10" fontId="5" fillId="0" borderId="0" xfId="733" applyNumberFormat="1" applyFont="1" applyFill="1" applyAlignment="1"/>
    <xf numFmtId="9" fontId="5" fillId="0" borderId="0" xfId="733" applyFont="1" applyFill="1"/>
    <xf numFmtId="10" fontId="5" fillId="0" borderId="0" xfId="733" applyNumberFormat="1" applyFont="1" applyFill="1"/>
    <xf numFmtId="43" fontId="5" fillId="0" borderId="0" xfId="731" applyFont="1" applyFill="1"/>
    <xf numFmtId="172" fontId="5" fillId="0" borderId="0" xfId="729" quotePrefix="1" applyFont="1"/>
    <xf numFmtId="173" fontId="5" fillId="0" borderId="67" xfId="731" applyNumberFormat="1" applyFont="1" applyBorder="1"/>
    <xf numFmtId="173" fontId="5" fillId="0" borderId="67" xfId="731" applyNumberFormat="1" applyFont="1" applyFill="1" applyBorder="1"/>
    <xf numFmtId="173" fontId="5" fillId="0" borderId="0" xfId="731" applyNumberFormat="1" applyFont="1" applyFill="1" applyBorder="1"/>
    <xf numFmtId="1" fontId="12" fillId="0" borderId="0" xfId="729" applyNumberFormat="1" applyFont="1" applyAlignment="1">
      <alignment horizontal="left"/>
    </xf>
    <xf numFmtId="43" fontId="5" fillId="0" borderId="0" xfId="731" applyFont="1"/>
    <xf numFmtId="173" fontId="5" fillId="0" borderId="0" xfId="731" applyNumberFormat="1" applyFont="1" applyBorder="1"/>
    <xf numFmtId="9" fontId="5" fillId="0" borderId="0" xfId="733" applyFont="1" applyFill="1" applyBorder="1"/>
    <xf numFmtId="1" fontId="6" fillId="0" borderId="0" xfId="729" applyNumberFormat="1" applyAlignment="1">
      <alignment horizontal="center"/>
    </xf>
    <xf numFmtId="173" fontId="0" fillId="0" borderId="0" xfId="731" applyNumberFormat="1" applyFont="1"/>
    <xf numFmtId="2" fontId="6" fillId="0" borderId="0" xfId="729" applyNumberFormat="1"/>
    <xf numFmtId="172" fontId="5" fillId="0" borderId="0" xfId="729" applyFont="1" applyAlignment="1">
      <alignment wrapText="1"/>
    </xf>
    <xf numFmtId="2" fontId="5" fillId="0" borderId="0" xfId="729" applyNumberFormat="1" applyFont="1" applyAlignment="1">
      <alignment wrapText="1"/>
    </xf>
    <xf numFmtId="173" fontId="149" fillId="34" borderId="0" xfId="387" applyNumberFormat="1" applyFont="1" applyFill="1" applyProtection="1">
      <protection locked="0"/>
    </xf>
    <xf numFmtId="172" fontId="27" fillId="0" borderId="0" xfId="341" applyFont="1" applyAlignment="1">
      <alignment horizontal="left" vertical="center"/>
    </xf>
    <xf numFmtId="172" fontId="27" fillId="0" borderId="0" xfId="341" applyFont="1"/>
    <xf numFmtId="172" fontId="27" fillId="0" borderId="0" xfId="341" applyFont="1" applyAlignment="1">
      <alignment vertical="top" wrapText="1"/>
    </xf>
    <xf numFmtId="172" fontId="27" fillId="0" borderId="0" xfId="341" applyFont="1" applyAlignment="1">
      <alignment vertical="top"/>
    </xf>
    <xf numFmtId="172" fontId="27" fillId="0" borderId="0" xfId="341" applyFont="1" applyAlignment="1">
      <alignment horizontal="left"/>
    </xf>
    <xf numFmtId="172" fontId="27" fillId="0" borderId="0" xfId="341" applyFont="1" applyAlignment="1">
      <alignment horizontal="center"/>
    </xf>
    <xf numFmtId="172" fontId="28" fillId="0" borderId="0" xfId="341" applyFont="1" applyAlignment="1">
      <alignment horizontal="left" vertical="center"/>
    </xf>
    <xf numFmtId="172" fontId="28" fillId="0" borderId="11" xfId="341" applyFont="1" applyBorder="1" applyAlignment="1">
      <alignment horizontal="center" wrapText="1"/>
    </xf>
    <xf numFmtId="172" fontId="28" fillId="0" borderId="11" xfId="341" applyFont="1" applyBorder="1" applyAlignment="1">
      <alignment horizontal="center"/>
    </xf>
    <xf numFmtId="172" fontId="28" fillId="0" borderId="68" xfId="341" applyFont="1" applyBorder="1" applyAlignment="1">
      <alignment horizontal="center" wrapText="1"/>
    </xf>
    <xf numFmtId="172" fontId="28" fillId="0" borderId="11" xfId="341" quotePrefix="1" applyFont="1" applyBorder="1" applyAlignment="1">
      <alignment horizontal="center" wrapText="1"/>
    </xf>
    <xf numFmtId="41" fontId="22" fillId="34" borderId="0" xfId="257" applyNumberFormat="1" applyFont="1" applyFill="1" applyProtection="1">
      <protection locked="0"/>
    </xf>
    <xf numFmtId="0" fontId="74" fillId="30" borderId="0" xfId="258" applyFont="1" applyFill="1" applyAlignment="1" applyProtection="1">
      <alignment horizontal="center"/>
      <protection locked="0"/>
    </xf>
    <xf numFmtId="0" fontId="6" fillId="0" borderId="0" xfId="259" applyAlignment="1">
      <alignment horizontal="left"/>
    </xf>
    <xf numFmtId="193" fontId="6" fillId="0" borderId="0" xfId="259" applyNumberFormat="1"/>
    <xf numFmtId="10" fontId="0" fillId="0" borderId="15" xfId="0" applyNumberFormat="1" applyBorder="1"/>
    <xf numFmtId="176" fontId="0" fillId="0" borderId="0" xfId="0" quotePrefix="1" applyNumberFormat="1" applyAlignment="1">
      <alignment horizontal="left"/>
    </xf>
    <xf numFmtId="176" fontId="0" fillId="0" borderId="0" xfId="0" quotePrefix="1" applyNumberFormat="1" applyAlignment="1">
      <alignment horizontal="right"/>
    </xf>
    <xf numFmtId="0" fontId="119" fillId="0" borderId="0" xfId="0" applyFont="1" applyAlignment="1" applyProtection="1">
      <alignment horizontal="right"/>
      <protection locked="0"/>
    </xf>
    <xf numFmtId="0" fontId="119" fillId="0" borderId="0" xfId="0" applyFont="1" applyProtection="1">
      <protection locked="0"/>
    </xf>
    <xf numFmtId="10" fontId="120" fillId="0" borderId="0" xfId="0" applyNumberFormat="1" applyFont="1"/>
    <xf numFmtId="0" fontId="120" fillId="0" borderId="0" xfId="0" applyFont="1"/>
    <xf numFmtId="0" fontId="120" fillId="0" borderId="0" xfId="0" applyFont="1" applyAlignment="1">
      <alignment horizontal="right"/>
    </xf>
    <xf numFmtId="0" fontId="45" fillId="0" borderId="0" xfId="0" applyFont="1"/>
    <xf numFmtId="200" fontId="0" fillId="0" borderId="0" xfId="0" applyNumberFormat="1" applyAlignment="1">
      <alignment horizontal="centerContinuous"/>
    </xf>
    <xf numFmtId="0" fontId="0" fillId="0" borderId="0" xfId="0" applyAlignment="1">
      <alignment horizontal="centerContinuous"/>
    </xf>
    <xf numFmtId="3" fontId="27" fillId="0" borderId="11" xfId="465" applyNumberFormat="1" applyFont="1" applyBorder="1" applyAlignment="1">
      <alignment horizontal="center" wrapText="1"/>
    </xf>
    <xf numFmtId="3" fontId="27" fillId="0" borderId="35" xfId="465" applyNumberFormat="1" applyFont="1" applyBorder="1" applyAlignment="1">
      <alignment horizontal="center" wrapText="1"/>
    </xf>
    <xf numFmtId="173" fontId="5" fillId="30" borderId="36" xfId="364" applyNumberFormat="1" applyFont="1" applyFill="1" applyBorder="1" applyAlignment="1">
      <alignment horizontal="right"/>
    </xf>
    <xf numFmtId="173" fontId="5" fillId="0" borderId="69" xfId="364" applyNumberFormat="1" applyFont="1" applyBorder="1"/>
    <xf numFmtId="173" fontId="5" fillId="0" borderId="31" xfId="364" applyNumberFormat="1" applyFont="1" applyBorder="1"/>
    <xf numFmtId="0" fontId="12" fillId="0" borderId="0" xfId="248" applyFont="1" applyAlignment="1">
      <alignment horizontal="center" wrapText="1"/>
    </xf>
    <xf numFmtId="173" fontId="11" fillId="34" borderId="0" xfId="364" applyNumberFormat="1" applyFont="1" applyFill="1" applyBorder="1" applyAlignment="1">
      <alignment horizontal="right"/>
    </xf>
    <xf numFmtId="0" fontId="5" fillId="0" borderId="70" xfId="0" applyFont="1" applyBorder="1"/>
    <xf numFmtId="0" fontId="5" fillId="0" borderId="75" xfId="0" applyFont="1" applyBorder="1"/>
    <xf numFmtId="3" fontId="5" fillId="0" borderId="11" xfId="465" applyNumberFormat="1" applyBorder="1" applyAlignment="1">
      <alignment horizontal="center" wrapText="1"/>
    </xf>
    <xf numFmtId="3" fontId="5" fillId="0" borderId="35" xfId="465" applyNumberFormat="1" applyBorder="1" applyAlignment="1">
      <alignment horizontal="center" wrapText="1"/>
    </xf>
    <xf numFmtId="173" fontId="5" fillId="30" borderId="0" xfId="364" applyNumberFormat="1" applyFont="1" applyFill="1" applyBorder="1" applyAlignment="1">
      <alignment horizontal="right"/>
    </xf>
    <xf numFmtId="173" fontId="5" fillId="30" borderId="75" xfId="364" applyNumberFormat="1" applyFont="1" applyFill="1" applyBorder="1" applyAlignment="1">
      <alignment horizontal="right"/>
    </xf>
    <xf numFmtId="173" fontId="163" fillId="30" borderId="0" xfId="364" applyNumberFormat="1" applyFont="1" applyFill="1" applyBorder="1" applyAlignment="1">
      <alignment horizontal="right"/>
    </xf>
    <xf numFmtId="173" fontId="163" fillId="30" borderId="36" xfId="364" applyNumberFormat="1" applyFont="1" applyFill="1" applyBorder="1" applyAlignment="1">
      <alignment horizontal="right"/>
    </xf>
    <xf numFmtId="173" fontId="163" fillId="30" borderId="35" xfId="364" applyNumberFormat="1" applyFont="1" applyFill="1" applyBorder="1" applyAlignment="1">
      <alignment horizontal="right"/>
    </xf>
    <xf numFmtId="173" fontId="163" fillId="0" borderId="69" xfId="364" applyNumberFormat="1" applyFont="1" applyBorder="1"/>
    <xf numFmtId="173" fontId="163" fillId="0" borderId="31" xfId="364" applyNumberFormat="1" applyFont="1" applyBorder="1"/>
    <xf numFmtId="0" fontId="5" fillId="0" borderId="76" xfId="0" applyFont="1" applyBorder="1"/>
    <xf numFmtId="3" fontId="5" fillId="0" borderId="33" xfId="465" applyNumberFormat="1" applyBorder="1" applyAlignment="1">
      <alignment horizontal="center" wrapText="1"/>
    </xf>
    <xf numFmtId="0" fontId="5" fillId="0" borderId="0" xfId="465" applyAlignment="1">
      <alignment horizontal="center"/>
    </xf>
    <xf numFmtId="38" fontId="5" fillId="0" borderId="0" xfId="0" applyNumberFormat="1" applyFont="1"/>
    <xf numFmtId="3" fontId="5" fillId="0" borderId="0" xfId="465" applyNumberFormat="1"/>
    <xf numFmtId="37" fontId="5" fillId="30" borderId="0" xfId="0" applyNumberFormat="1" applyFont="1" applyFill="1" applyProtection="1">
      <protection locked="0"/>
    </xf>
    <xf numFmtId="173" fontId="5" fillId="0" borderId="0" xfId="86" applyNumberFormat="1" applyFont="1" applyFill="1"/>
    <xf numFmtId="173" fontId="8" fillId="0" borderId="0" xfId="86" applyNumberFormat="1" applyFont="1" applyFill="1" applyBorder="1" applyAlignment="1" applyProtection="1"/>
    <xf numFmtId="41" fontId="8" fillId="30" borderId="0" xfId="257" applyNumberFormat="1" applyFont="1" applyFill="1" applyProtection="1">
      <protection locked="0"/>
    </xf>
    <xf numFmtId="41" fontId="22" fillId="34" borderId="6" xfId="257" applyNumberFormat="1" applyFont="1" applyFill="1" applyBorder="1" applyProtection="1">
      <protection locked="0"/>
    </xf>
    <xf numFmtId="41" fontId="22" fillId="30" borderId="0" xfId="257" applyNumberFormat="1" applyFont="1" applyFill="1" applyProtection="1">
      <protection locked="0"/>
    </xf>
    <xf numFmtId="0" fontId="15" fillId="0" borderId="77" xfId="189" applyBorder="1"/>
    <xf numFmtId="41" fontId="27" fillId="34" borderId="78" xfId="249" applyNumberFormat="1" applyFont="1" applyFill="1" applyBorder="1" applyProtection="1">
      <protection locked="0"/>
    </xf>
    <xf numFmtId="173" fontId="27" fillId="38" borderId="78" xfId="350" applyNumberFormat="1" applyFont="1" applyFill="1" applyBorder="1"/>
    <xf numFmtId="173" fontId="27" fillId="0" borderId="76" xfId="350" applyNumberFormat="1" applyFont="1" applyFill="1" applyBorder="1"/>
    <xf numFmtId="173" fontId="27" fillId="0" borderId="78" xfId="350" applyNumberFormat="1" applyFont="1" applyFill="1" applyBorder="1"/>
    <xf numFmtId="41" fontId="27" fillId="34" borderId="71" xfId="249" applyNumberFormat="1" applyFont="1" applyFill="1" applyBorder="1" applyProtection="1">
      <protection locked="0"/>
    </xf>
    <xf numFmtId="173" fontId="27" fillId="0" borderId="71" xfId="350" applyNumberFormat="1" applyFont="1" applyFill="1" applyBorder="1"/>
    <xf numFmtId="173" fontId="27" fillId="38" borderId="72" xfId="350" applyNumberFormat="1" applyFont="1" applyFill="1" applyBorder="1"/>
    <xf numFmtId="173" fontId="27" fillId="38" borderId="71" xfId="350" applyNumberFormat="1" applyFont="1" applyFill="1" applyBorder="1"/>
    <xf numFmtId="173" fontId="27" fillId="0" borderId="72" xfId="350" applyNumberFormat="1" applyFont="1" applyFill="1" applyBorder="1"/>
    <xf numFmtId="41" fontId="27" fillId="34" borderId="74" xfId="249" applyNumberFormat="1" applyFont="1" applyFill="1" applyBorder="1" applyProtection="1">
      <protection locked="0"/>
    </xf>
    <xf numFmtId="173" fontId="27" fillId="0" borderId="69" xfId="354" applyNumberFormat="1" applyFont="1" applyBorder="1" applyAlignment="1"/>
    <xf numFmtId="10" fontId="22" fillId="0" borderId="0" xfId="0" applyNumberFormat="1" applyFont="1" applyProtection="1">
      <protection locked="0"/>
    </xf>
    <xf numFmtId="49" fontId="27" fillId="0" borderId="0" xfId="337" applyNumberFormat="1" applyFont="1" applyAlignment="1">
      <alignment horizontal="center"/>
    </xf>
    <xf numFmtId="41" fontId="27" fillId="0" borderId="0" xfId="337" applyNumberFormat="1" applyFont="1" applyAlignment="1">
      <alignment horizontal="center"/>
    </xf>
    <xf numFmtId="0" fontId="28" fillId="0" borderId="0" xfId="337" applyFont="1"/>
    <xf numFmtId="173" fontId="27" fillId="38" borderId="71" xfId="688" applyNumberFormat="1" applyFont="1" applyFill="1" applyBorder="1"/>
    <xf numFmtId="41" fontId="27" fillId="34" borderId="71" xfId="251" applyNumberFormat="1" applyFont="1" applyFill="1" applyBorder="1" applyProtection="1">
      <protection locked="0"/>
    </xf>
    <xf numFmtId="173" fontId="27" fillId="38" borderId="72" xfId="688" applyNumberFormat="1" applyFont="1" applyFill="1" applyBorder="1"/>
    <xf numFmtId="173" fontId="27" fillId="0" borderId="72" xfId="688" applyNumberFormat="1" applyFont="1" applyFill="1" applyBorder="1"/>
    <xf numFmtId="0" fontId="27" fillId="0" borderId="0" xfId="349" applyFont="1"/>
    <xf numFmtId="49" fontId="5" fillId="0" borderId="0" xfId="349" applyNumberFormat="1" applyFont="1" applyAlignment="1">
      <alignment horizontal="center"/>
    </xf>
    <xf numFmtId="173" fontId="27" fillId="0" borderId="0" xfId="734" applyNumberFormat="1" applyFont="1" applyBorder="1" applyAlignment="1">
      <alignment horizontal="center"/>
    </xf>
    <xf numFmtId="0" fontId="28" fillId="0" borderId="0" xfId="349" applyFont="1"/>
    <xf numFmtId="0" fontId="178" fillId="0" borderId="0" xfId="349" applyFont="1"/>
    <xf numFmtId="173" fontId="27" fillId="40" borderId="72" xfId="688" applyNumberFormat="1" applyFont="1" applyFill="1" applyBorder="1"/>
    <xf numFmtId="41" fontId="27" fillId="0" borderId="71" xfId="712" applyNumberFormat="1" applyFont="1" applyBorder="1"/>
    <xf numFmtId="49" fontId="27" fillId="0" borderId="0" xfId="349" applyNumberFormat="1" applyFont="1" applyAlignment="1">
      <alignment horizontal="center"/>
    </xf>
    <xf numFmtId="43" fontId="15" fillId="0" borderId="0" xfId="258" applyNumberFormat="1" applyFont="1"/>
    <xf numFmtId="0" fontId="27" fillId="0" borderId="0" xfId="337" applyFont="1" applyAlignment="1">
      <alignment wrapText="1"/>
    </xf>
    <xf numFmtId="173" fontId="27" fillId="38" borderId="0" xfId="538" applyNumberFormat="1" applyFont="1" applyFill="1" applyBorder="1"/>
    <xf numFmtId="41" fontId="27" fillId="34" borderId="74" xfId="251" applyNumberFormat="1" applyFont="1" applyFill="1" applyBorder="1" applyProtection="1">
      <protection locked="0"/>
    </xf>
    <xf numFmtId="173" fontId="27" fillId="0" borderId="71" xfId="538" applyNumberFormat="1" applyFont="1" applyFill="1" applyBorder="1"/>
    <xf numFmtId="172" fontId="8" fillId="0" borderId="0" xfId="257" applyFont="1" applyAlignment="1" applyProtection="1">
      <alignment horizontal="left" wrapText="1"/>
    </xf>
    <xf numFmtId="172" fontId="8" fillId="0" borderId="0" xfId="257" applyFont="1" applyAlignment="1" applyProtection="1">
      <alignment horizontal="left"/>
    </xf>
    <xf numFmtId="3" fontId="8" fillId="0" borderId="0" xfId="257" applyNumberFormat="1" applyFont="1" applyAlignment="1" applyProtection="1">
      <alignment horizontal="left" wrapText="1"/>
    </xf>
    <xf numFmtId="0" fontId="15" fillId="0" borderId="0" xfId="0" applyFont="1" applyAlignment="1">
      <alignment horizontal="left" wrapText="1"/>
    </xf>
    <xf numFmtId="172" fontId="80" fillId="0" borderId="0" xfId="257" applyFont="1" applyAlignment="1" applyProtection="1">
      <alignment horizontal="left" wrapText="1"/>
    </xf>
    <xf numFmtId="49" fontId="8" fillId="0" borderId="0" xfId="257" applyNumberFormat="1" applyFont="1" applyAlignment="1" applyProtection="1">
      <alignment horizontal="center"/>
    </xf>
    <xf numFmtId="0" fontId="35" fillId="0" borderId="0" xfId="0" applyFont="1" applyAlignment="1">
      <alignment horizontal="center"/>
    </xf>
    <xf numFmtId="0" fontId="13" fillId="0" borderId="0" xfId="257" applyNumberFormat="1" applyFont="1" applyAlignment="1" applyProtection="1">
      <alignment horizontal="center"/>
    </xf>
    <xf numFmtId="0" fontId="16" fillId="0" borderId="0" xfId="0" applyFont="1"/>
    <xf numFmtId="0" fontId="0" fillId="0" borderId="0" xfId="0" applyAlignment="1">
      <alignment horizontal="center"/>
    </xf>
    <xf numFmtId="172" fontId="9" fillId="0" borderId="11" xfId="257" applyFont="1" applyBorder="1" applyAlignment="1" applyProtection="1">
      <alignment horizontal="center"/>
    </xf>
    <xf numFmtId="0" fontId="8" fillId="0" borderId="0" xfId="0" applyFont="1" applyAlignment="1">
      <alignment horizontal="left" vertical="top" wrapText="1"/>
    </xf>
    <xf numFmtId="3" fontId="170" fillId="0" borderId="0" xfId="257" applyNumberFormat="1" applyFont="1" applyAlignment="1" applyProtection="1">
      <alignment horizontal="center"/>
    </xf>
    <xf numFmtId="0" fontId="8" fillId="0" borderId="0" xfId="257" applyNumberFormat="1" applyFont="1" applyAlignment="1" applyProtection="1">
      <alignment horizontal="left" wrapText="1"/>
    </xf>
    <xf numFmtId="0" fontId="8" fillId="0" borderId="0" xfId="257" applyNumberFormat="1" applyFont="1" applyAlignment="1" applyProtection="1">
      <alignment horizontal="left" vertical="top" wrapText="1"/>
    </xf>
    <xf numFmtId="172" fontId="29" fillId="0" borderId="0" xfId="257" applyFont="1" applyAlignment="1" applyProtection="1">
      <alignment vertical="top" wrapText="1"/>
    </xf>
    <xf numFmtId="0" fontId="29" fillId="0" borderId="0" xfId="0" applyFont="1" applyAlignment="1">
      <alignment vertical="top" wrapText="1"/>
    </xf>
    <xf numFmtId="0" fontId="8" fillId="0" borderId="0" xfId="0" applyFont="1" applyAlignment="1">
      <alignment wrapText="1"/>
    </xf>
    <xf numFmtId="0" fontId="15" fillId="0" borderId="0" xfId="0" applyFont="1" applyAlignment="1">
      <alignment wrapText="1"/>
    </xf>
    <xf numFmtId="172" fontId="144" fillId="0" borderId="0" xfId="257" applyFont="1" applyAlignment="1" applyProtection="1">
      <alignment vertical="top" wrapText="1"/>
    </xf>
    <xf numFmtId="0" fontId="139" fillId="0" borderId="0" xfId="0" applyFont="1" applyAlignment="1">
      <alignment vertical="top" wrapText="1"/>
    </xf>
    <xf numFmtId="172" fontId="29" fillId="0" borderId="0" xfId="257" applyFont="1" applyAlignment="1" applyProtection="1">
      <alignment wrapText="1"/>
    </xf>
    <xf numFmtId="172" fontId="8" fillId="0" borderId="0" xfId="257" applyFont="1" applyAlignment="1" applyProtection="1">
      <alignment vertical="top" wrapText="1"/>
    </xf>
    <xf numFmtId="0" fontId="8" fillId="0" borderId="0" xfId="0" applyFont="1" applyAlignment="1">
      <alignment vertical="top" wrapText="1"/>
    </xf>
    <xf numFmtId="172" fontId="122" fillId="0" borderId="0" xfId="257" applyFont="1" applyAlignment="1" applyProtection="1">
      <alignment wrapText="1"/>
    </xf>
    <xf numFmtId="0" fontId="35" fillId="0" borderId="0" xfId="0" applyFont="1" applyAlignment="1">
      <alignment wrapText="1"/>
    </xf>
    <xf numFmtId="0" fontId="29" fillId="0" borderId="0" xfId="257" applyNumberFormat="1" applyFont="1" applyAlignment="1" applyProtection="1">
      <alignment horizontal="left" wrapText="1"/>
    </xf>
    <xf numFmtId="0" fontId="12" fillId="0" borderId="72" xfId="189" applyFont="1" applyBorder="1" applyAlignment="1">
      <alignment horizontal="center"/>
    </xf>
    <xf numFmtId="0" fontId="12" fillId="0" borderId="73" xfId="189" applyFont="1" applyBorder="1" applyAlignment="1">
      <alignment horizontal="center"/>
    </xf>
    <xf numFmtId="0" fontId="12" fillId="0" borderId="74" xfId="189" applyFont="1" applyBorder="1" applyAlignment="1">
      <alignment horizontal="center"/>
    </xf>
    <xf numFmtId="0" fontId="8" fillId="0" borderId="0" xfId="0" applyFont="1" applyAlignment="1">
      <alignment horizontal="center"/>
    </xf>
    <xf numFmtId="0" fontId="8" fillId="0" borderId="0" xfId="211" applyFont="1" applyAlignment="1">
      <alignment horizontal="center"/>
    </xf>
    <xf numFmtId="3" fontId="8" fillId="0" borderId="0" xfId="211" applyNumberFormat="1" applyFont="1" applyAlignment="1">
      <alignment horizontal="center"/>
    </xf>
    <xf numFmtId="0" fontId="12" fillId="0" borderId="72" xfId="260" applyFont="1" applyBorder="1" applyAlignment="1">
      <alignment horizontal="center" wrapText="1"/>
    </xf>
    <xf numFmtId="0" fontId="12" fillId="0" borderId="73" xfId="260" applyFont="1" applyBorder="1" applyAlignment="1">
      <alignment horizontal="center" wrapText="1"/>
    </xf>
    <xf numFmtId="0" fontId="12" fillId="0" borderId="74" xfId="260" applyFont="1" applyBorder="1" applyAlignment="1">
      <alignment horizontal="center" wrapText="1"/>
    </xf>
    <xf numFmtId="0" fontId="15" fillId="0" borderId="0" xfId="211" applyAlignment="1">
      <alignment horizontal="left" wrapText="1"/>
    </xf>
    <xf numFmtId="0" fontId="20" fillId="0" borderId="0" xfId="249" applyFont="1" applyAlignment="1">
      <alignment horizontal="center" wrapText="1"/>
    </xf>
    <xf numFmtId="0" fontId="16" fillId="0" borderId="0" xfId="0" applyFont="1" applyAlignment="1">
      <alignment horizontal="center" wrapText="1"/>
    </xf>
    <xf numFmtId="3" fontId="8" fillId="0" borderId="0" xfId="0" applyNumberFormat="1" applyFont="1" applyAlignment="1">
      <alignment horizontal="center"/>
    </xf>
    <xf numFmtId="0" fontId="20" fillId="0" borderId="0" xfId="211" quotePrefix="1" applyFont="1" applyAlignment="1">
      <alignment horizontal="center" wrapText="1"/>
    </xf>
    <xf numFmtId="41" fontId="27" fillId="34" borderId="34" xfId="249" applyNumberFormat="1" applyFont="1" applyFill="1" applyBorder="1" applyAlignment="1" applyProtection="1">
      <alignment vertical="center"/>
      <protection locked="0"/>
    </xf>
    <xf numFmtId="0" fontId="27" fillId="0" borderId="0" xfId="351" applyFont="1" applyAlignment="1">
      <alignment horizontal="center" wrapText="1"/>
    </xf>
    <xf numFmtId="41" fontId="27" fillId="34" borderId="34" xfId="249" applyNumberFormat="1" applyFont="1" applyFill="1" applyBorder="1" applyAlignment="1" applyProtection="1">
      <alignment horizontal="left" vertical="center" wrapText="1"/>
      <protection locked="0"/>
    </xf>
    <xf numFmtId="0" fontId="27" fillId="0" borderId="11" xfId="351" applyFont="1" applyBorder="1" applyAlignment="1">
      <alignment horizontal="center"/>
    </xf>
    <xf numFmtId="172" fontId="27" fillId="0" borderId="11" xfId="352" applyFont="1" applyBorder="1" applyAlignment="1">
      <alignment horizontal="center"/>
    </xf>
    <xf numFmtId="0" fontId="27" fillId="0" borderId="11" xfId="351" applyFont="1" applyBorder="1" applyAlignment="1">
      <alignment horizontal="center" wrapText="1"/>
    </xf>
    <xf numFmtId="0" fontId="28" fillId="0" borderId="0" xfId="351" applyFont="1" applyAlignment="1">
      <alignment horizontal="center" wrapText="1"/>
    </xf>
    <xf numFmtId="0" fontId="27" fillId="0" borderId="0" xfId="351" applyFont="1" applyAlignment="1">
      <alignment horizontal="left" wrapText="1"/>
    </xf>
    <xf numFmtId="172" fontId="27" fillId="0" borderId="0" xfId="341" applyFont="1" applyAlignment="1">
      <alignment horizontal="left" vertical="top" wrapText="1"/>
    </xf>
    <xf numFmtId="172" fontId="5" fillId="0" borderId="0" xfId="729" applyFont="1" applyAlignment="1">
      <alignment horizontal="left" wrapText="1"/>
    </xf>
    <xf numFmtId="2" fontId="5" fillId="0" borderId="0" xfId="729" applyNumberFormat="1" applyFont="1" applyAlignment="1">
      <alignment horizontal="left" wrapText="1"/>
    </xf>
    <xf numFmtId="41" fontId="12" fillId="0" borderId="11" xfId="249" applyNumberFormat="1" applyFont="1" applyBorder="1" applyAlignment="1" applyProtection="1">
      <alignment horizontal="center"/>
      <protection locked="0"/>
    </xf>
    <xf numFmtId="172" fontId="5" fillId="0" borderId="0" xfId="729" applyFont="1" applyAlignment="1">
      <alignment horizontal="center" wrapText="1"/>
    </xf>
    <xf numFmtId="10" fontId="5" fillId="0" borderId="0" xfId="733" applyNumberFormat="1" applyFont="1" applyFill="1" applyAlignment="1">
      <alignment horizontal="center" wrapText="1"/>
    </xf>
    <xf numFmtId="9" fontId="5" fillId="0" borderId="0" xfId="733" applyFont="1" applyFill="1" applyAlignment="1">
      <alignment horizontal="center" wrapText="1"/>
    </xf>
    <xf numFmtId="0" fontId="84" fillId="0" borderId="0" xfId="211" applyFont="1" applyAlignment="1">
      <alignment horizontal="center"/>
    </xf>
    <xf numFmtId="0" fontId="84" fillId="0" borderId="0" xfId="249" applyFont="1" applyAlignment="1">
      <alignment horizontal="center"/>
    </xf>
    <xf numFmtId="0" fontId="84" fillId="0" borderId="0" xfId="0" applyFont="1" applyAlignment="1">
      <alignment horizontal="center"/>
    </xf>
    <xf numFmtId="172" fontId="15" fillId="0" borderId="0" xfId="257" applyFont="1" applyAlignment="1" applyProtection="1">
      <alignment horizontal="left" vertical="top" wrapText="1"/>
    </xf>
    <xf numFmtId="0" fontId="12" fillId="0" borderId="0" xfId="261" applyFont="1" applyAlignment="1">
      <alignment wrapText="1"/>
    </xf>
    <xf numFmtId="3" fontId="7" fillId="0" borderId="0" xfId="0" applyNumberFormat="1" applyFont="1" applyAlignment="1">
      <alignment horizontal="center"/>
    </xf>
    <xf numFmtId="0" fontId="13" fillId="0" borderId="0" xfId="261" applyFont="1" applyAlignment="1">
      <alignment horizontal="center"/>
    </xf>
    <xf numFmtId="0" fontId="15" fillId="0" borderId="0" xfId="0" applyFont="1" applyAlignment="1">
      <alignment vertical="top" wrapText="1"/>
    </xf>
    <xf numFmtId="0" fontId="77" fillId="0" borderId="11" xfId="258" applyFont="1" applyBorder="1" applyAlignment="1">
      <alignment horizontal="center"/>
    </xf>
    <xf numFmtId="0" fontId="74" fillId="0" borderId="0" xfId="258" applyFont="1" applyAlignment="1">
      <alignment horizontal="left" wrapText="1"/>
    </xf>
    <xf numFmtId="0" fontId="74" fillId="0" borderId="0" xfId="258" applyFont="1" applyAlignment="1">
      <alignment wrapText="1"/>
    </xf>
    <xf numFmtId="0" fontId="7" fillId="0" borderId="0" xfId="211" applyFont="1" applyAlignment="1">
      <alignment horizontal="center"/>
    </xf>
    <xf numFmtId="0" fontId="7" fillId="0" borderId="0" xfId="0" applyFont="1" applyAlignment="1">
      <alignment horizontal="center"/>
    </xf>
    <xf numFmtId="0" fontId="72" fillId="34" borderId="0" xfId="0" applyFont="1" applyFill="1" applyAlignment="1" applyProtection="1">
      <alignment horizontal="left" vertical="top"/>
      <protection locked="0"/>
    </xf>
    <xf numFmtId="173" fontId="103" fillId="0" borderId="0" xfId="86" applyNumberFormat="1" applyFont="1" applyBorder="1" applyAlignment="1" applyProtection="1">
      <alignment horizontal="center"/>
    </xf>
    <xf numFmtId="0" fontId="0" fillId="0" borderId="0" xfId="0" applyAlignment="1">
      <alignment horizontal="left" wrapText="1"/>
    </xf>
    <xf numFmtId="172" fontId="5" fillId="0" borderId="21" xfId="257" applyFont="1" applyBorder="1" applyAlignment="1" applyProtection="1">
      <alignment wrapText="1"/>
    </xf>
    <xf numFmtId="0" fontId="5" fillId="0" borderId="16" xfId="0" applyFont="1" applyBorder="1" applyAlignment="1">
      <alignment wrapText="1"/>
    </xf>
    <xf numFmtId="0" fontId="5" fillId="0" borderId="22" xfId="0" applyFont="1" applyBorder="1" applyAlignment="1">
      <alignment wrapText="1"/>
    </xf>
    <xf numFmtId="0" fontId="5" fillId="0" borderId="17" xfId="0" applyFont="1" applyBorder="1" applyAlignment="1">
      <alignment wrapText="1"/>
    </xf>
    <xf numFmtId="0" fontId="5" fillId="0" borderId="0" xfId="0" applyFont="1" applyAlignment="1">
      <alignment wrapText="1"/>
    </xf>
    <xf numFmtId="0" fontId="5" fillId="0" borderId="18" xfId="0" applyFont="1" applyBorder="1" applyAlignment="1">
      <alignment wrapText="1"/>
    </xf>
    <xf numFmtId="0" fontId="7" fillId="0" borderId="0" xfId="0" applyFont="1" applyAlignment="1">
      <alignment wrapText="1"/>
    </xf>
    <xf numFmtId="0" fontId="0" fillId="0" borderId="0" xfId="0" applyAlignment="1">
      <alignment wrapText="1"/>
    </xf>
    <xf numFmtId="0" fontId="15" fillId="0" borderId="0" xfId="252" applyAlignment="1">
      <alignment horizontal="left" wrapText="1"/>
    </xf>
    <xf numFmtId="0" fontId="15" fillId="0" borderId="0" xfId="183" applyAlignment="1">
      <alignment wrapText="1"/>
    </xf>
    <xf numFmtId="0" fontId="96" fillId="0" borderId="0" xfId="252" applyFont="1" applyAlignment="1">
      <alignment horizontal="left" wrapText="1"/>
    </xf>
    <xf numFmtId="0" fontId="66" fillId="0" borderId="0" xfId="0" applyFont="1" applyAlignment="1">
      <alignment vertical="top" wrapText="1"/>
    </xf>
    <xf numFmtId="41" fontId="12" fillId="0" borderId="0" xfId="252" applyNumberFormat="1" applyFont="1" applyAlignment="1">
      <alignment horizontal="center" wrapText="1"/>
    </xf>
    <xf numFmtId="0" fontId="12" fillId="0" borderId="48" xfId="260" applyFont="1" applyBorder="1" applyAlignment="1">
      <alignment horizontal="center" wrapText="1"/>
    </xf>
    <xf numFmtId="0" fontId="12" fillId="0" borderId="13" xfId="260" applyFont="1" applyBorder="1" applyAlignment="1">
      <alignment horizontal="center" wrapText="1"/>
    </xf>
    <xf numFmtId="0" fontId="12" fillId="0" borderId="49" xfId="260" applyFont="1" applyBorder="1" applyAlignment="1">
      <alignment horizontal="center" wrapText="1"/>
    </xf>
    <xf numFmtId="0" fontId="12" fillId="0" borderId="48" xfId="0" applyFont="1" applyBorder="1" applyAlignment="1">
      <alignment horizontal="center"/>
    </xf>
    <xf numFmtId="0" fontId="12" fillId="0" borderId="13" xfId="0" applyFont="1" applyBorder="1" applyAlignment="1">
      <alignment horizontal="center"/>
    </xf>
    <xf numFmtId="0" fontId="12" fillId="0" borderId="49" xfId="0" applyFont="1" applyBorder="1" applyAlignment="1">
      <alignment horizontal="center"/>
    </xf>
    <xf numFmtId="0" fontId="12" fillId="0" borderId="0" xfId="0" applyFont="1" applyAlignment="1">
      <alignment horizontal="center" wrapText="1"/>
    </xf>
    <xf numFmtId="0" fontId="12" fillId="0" borderId="0" xfId="0" applyFont="1" applyAlignment="1">
      <alignment horizontal="left" wrapText="1"/>
    </xf>
    <xf numFmtId="0" fontId="102" fillId="0" borderId="0" xfId="0" applyFont="1" applyAlignment="1">
      <alignment horizontal="center" wrapText="1"/>
    </xf>
    <xf numFmtId="0" fontId="23" fillId="34" borderId="0" xfId="0" applyFont="1" applyFill="1" applyAlignment="1" applyProtection="1">
      <alignment wrapText="1"/>
      <protection locked="0"/>
    </xf>
    <xf numFmtId="0" fontId="157" fillId="0" borderId="0" xfId="0" applyFont="1" applyAlignment="1">
      <alignment horizontal="left" wrapText="1"/>
    </xf>
    <xf numFmtId="0" fontId="149" fillId="0" borderId="0" xfId="0" applyFont="1" applyAlignment="1">
      <alignment wrapText="1"/>
    </xf>
    <xf numFmtId="0" fontId="149" fillId="0" borderId="0" xfId="0" applyFont="1" applyAlignment="1">
      <alignment horizontal="left" wrapText="1"/>
    </xf>
    <xf numFmtId="0" fontId="151" fillId="0" borderId="0" xfId="0" applyFont="1" applyAlignment="1">
      <alignment horizontal="center"/>
    </xf>
    <xf numFmtId="0" fontId="151" fillId="0" borderId="0" xfId="0" applyFont="1" applyAlignment="1">
      <alignment horizontal="center" wrapText="1"/>
    </xf>
    <xf numFmtId="173" fontId="151" fillId="0" borderId="0" xfId="111" applyNumberFormat="1" applyFont="1" applyAlignment="1">
      <alignment horizontal="center" wrapText="1"/>
    </xf>
    <xf numFmtId="0" fontId="144" fillId="0" borderId="0" xfId="0" applyFont="1" applyAlignment="1">
      <alignment horizontal="center"/>
    </xf>
    <xf numFmtId="0" fontId="144" fillId="0" borderId="0" xfId="211" applyFont="1" applyAlignment="1">
      <alignment horizontal="center"/>
    </xf>
    <xf numFmtId="0" fontId="149" fillId="0" borderId="0" xfId="0" applyFont="1" applyAlignment="1">
      <alignment horizontal="center"/>
    </xf>
    <xf numFmtId="3" fontId="144" fillId="0" borderId="0" xfId="0" applyNumberFormat="1" applyFont="1" applyAlignment="1">
      <alignment horizontal="center"/>
    </xf>
    <xf numFmtId="0" fontId="0" fillId="0" borderId="0" xfId="0" applyAlignment="1">
      <alignment horizontal="left" vertical="center" wrapText="1"/>
    </xf>
    <xf numFmtId="0" fontId="8" fillId="0" borderId="0" xfId="256" applyFont="1" applyAlignment="1">
      <alignment vertical="top" wrapText="1"/>
    </xf>
    <xf numFmtId="0" fontId="6" fillId="0" borderId="0" xfId="0" applyFont="1" applyAlignment="1">
      <alignment vertical="top" wrapText="1"/>
    </xf>
    <xf numFmtId="0" fontId="113" fillId="0" borderId="0" xfId="259" applyFont="1" applyAlignment="1">
      <alignment horizontal="center"/>
    </xf>
    <xf numFmtId="3" fontId="113" fillId="0" borderId="0" xfId="259" applyNumberFormat="1" applyFont="1" applyAlignment="1">
      <alignment horizontal="center"/>
    </xf>
    <xf numFmtId="44" fontId="113" fillId="0" borderId="0" xfId="117" applyFont="1" applyAlignment="1" applyProtection="1">
      <alignment horizontal="center"/>
    </xf>
    <xf numFmtId="0" fontId="80" fillId="0" borderId="30" xfId="259" applyFont="1" applyBorder="1" applyAlignment="1">
      <alignment horizontal="center"/>
    </xf>
    <xf numFmtId="0" fontId="8" fillId="0" borderId="0" xfId="338" applyFont="1" applyAlignment="1">
      <alignment wrapText="1"/>
    </xf>
    <xf numFmtId="44" fontId="113" fillId="0" borderId="0" xfId="393" applyFont="1" applyAlignment="1">
      <alignment horizontal="center"/>
    </xf>
    <xf numFmtId="0" fontId="80" fillId="0" borderId="0" xfId="338" applyFont="1" applyAlignment="1">
      <alignment vertical="top" wrapText="1"/>
    </xf>
    <xf numFmtId="0" fontId="5" fillId="0" borderId="0" xfId="338" applyAlignment="1">
      <alignment vertical="top" wrapText="1"/>
    </xf>
    <xf numFmtId="0" fontId="8" fillId="0" borderId="0" xfId="728" applyFont="1" applyAlignment="1">
      <alignment vertical="top" wrapText="1"/>
    </xf>
    <xf numFmtId="0" fontId="8" fillId="0" borderId="0" xfId="165" applyFont="1" applyAlignment="1">
      <alignment vertical="top" wrapText="1"/>
    </xf>
    <xf numFmtId="0" fontId="145" fillId="0" borderId="0" xfId="259" applyFont="1" applyAlignment="1">
      <alignment horizontal="center"/>
    </xf>
    <xf numFmtId="0" fontId="6" fillId="0" borderId="0" xfId="259" applyAlignment="1">
      <alignment wrapText="1"/>
    </xf>
    <xf numFmtId="0" fontId="80" fillId="0" borderId="0" xfId="0" applyFont="1" applyAlignment="1">
      <alignment horizontal="center"/>
    </xf>
    <xf numFmtId="0" fontId="9" fillId="0" borderId="0" xfId="0" applyFont="1" applyAlignment="1">
      <alignment horizontal="center"/>
    </xf>
    <xf numFmtId="0" fontId="126" fillId="0" borderId="0" xfId="0" applyFont="1" applyAlignment="1">
      <alignment horizontal="center" wrapText="1"/>
    </xf>
  </cellXfs>
  <cellStyles count="735">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A 2" xfId="586" xr:uid="{00000000-0005-0000-0000-000036000000}"/>
    <cellStyle name="C01B" xfId="55" xr:uid="{00000000-0005-0000-0000-000037000000}"/>
    <cellStyle name="C01B 2" xfId="355" xr:uid="{00000000-0005-0000-0000-000038000000}"/>
    <cellStyle name="C01H" xfId="56" xr:uid="{00000000-0005-0000-0000-000039000000}"/>
    <cellStyle name="C01L" xfId="57" xr:uid="{00000000-0005-0000-0000-00003A000000}"/>
    <cellStyle name="C02A" xfId="58" xr:uid="{00000000-0005-0000-0000-00003B000000}"/>
    <cellStyle name="C02A 2" xfId="546" xr:uid="{00000000-0005-0000-0000-00003C000000}"/>
    <cellStyle name="C02A 3" xfId="585" xr:uid="{00000000-0005-0000-0000-00003D000000}"/>
    <cellStyle name="C02A 3 2" xfId="642" xr:uid="{00000000-0005-0000-0000-00003E000000}"/>
    <cellStyle name="C02A 4" xfId="539" xr:uid="{00000000-0005-0000-0000-00003F000000}"/>
    <cellStyle name="C02A 4 2" xfId="613" xr:uid="{00000000-0005-0000-0000-000040000000}"/>
    <cellStyle name="C02A 5" xfId="356" xr:uid="{00000000-0005-0000-0000-000041000000}"/>
    <cellStyle name="C02B" xfId="59" xr:uid="{00000000-0005-0000-0000-000042000000}"/>
    <cellStyle name="C02B 2" xfId="357" xr:uid="{00000000-0005-0000-0000-000043000000}"/>
    <cellStyle name="C02H" xfId="60" xr:uid="{00000000-0005-0000-0000-000044000000}"/>
    <cellStyle name="C02L" xfId="61" xr:uid="{00000000-0005-0000-0000-000045000000}"/>
    <cellStyle name="C03A" xfId="62" xr:uid="{00000000-0005-0000-0000-000046000000}"/>
    <cellStyle name="C03B" xfId="63" xr:uid="{00000000-0005-0000-0000-000047000000}"/>
    <cellStyle name="C03H" xfId="64" xr:uid="{00000000-0005-0000-0000-000048000000}"/>
    <cellStyle name="C03L" xfId="65" xr:uid="{00000000-0005-0000-0000-000049000000}"/>
    <cellStyle name="C04A" xfId="66" xr:uid="{00000000-0005-0000-0000-00004A000000}"/>
    <cellStyle name="C04A 2" xfId="358" xr:uid="{00000000-0005-0000-0000-00004B000000}"/>
    <cellStyle name="C04B" xfId="67" xr:uid="{00000000-0005-0000-0000-00004C000000}"/>
    <cellStyle name="C04H" xfId="68" xr:uid="{00000000-0005-0000-0000-00004D000000}"/>
    <cellStyle name="C04L" xfId="69" xr:uid="{00000000-0005-0000-0000-00004E000000}"/>
    <cellStyle name="C05A" xfId="70" xr:uid="{00000000-0005-0000-0000-00004F000000}"/>
    <cellStyle name="C05B" xfId="71" xr:uid="{00000000-0005-0000-0000-000050000000}"/>
    <cellStyle name="C05H" xfId="72" xr:uid="{00000000-0005-0000-0000-000051000000}"/>
    <cellStyle name="C05L" xfId="73" xr:uid="{00000000-0005-0000-0000-000052000000}"/>
    <cellStyle name="C05L 2" xfId="359" xr:uid="{00000000-0005-0000-0000-000053000000}"/>
    <cellStyle name="C06A" xfId="74" xr:uid="{00000000-0005-0000-0000-000054000000}"/>
    <cellStyle name="C06B" xfId="75" xr:uid="{00000000-0005-0000-0000-000055000000}"/>
    <cellStyle name="C06H" xfId="76" xr:uid="{00000000-0005-0000-0000-000056000000}"/>
    <cellStyle name="C06L" xfId="77" xr:uid="{00000000-0005-0000-0000-000057000000}"/>
    <cellStyle name="C07A" xfId="78" xr:uid="{00000000-0005-0000-0000-000058000000}"/>
    <cellStyle name="C07B" xfId="79" xr:uid="{00000000-0005-0000-0000-000059000000}"/>
    <cellStyle name="C07H" xfId="80" xr:uid="{00000000-0005-0000-0000-00005A000000}"/>
    <cellStyle name="C07L" xfId="81" xr:uid="{00000000-0005-0000-0000-00005B000000}"/>
    <cellStyle name="Calculation" xfId="82" builtinId="22" customBuiltin="1"/>
    <cellStyle name="Calculation 2" xfId="83" xr:uid="{00000000-0005-0000-0000-00005D000000}"/>
    <cellStyle name="Calculation 2 2" xfId="548" xr:uid="{00000000-0005-0000-0000-00005E000000}"/>
    <cellStyle name="Calculation 2 3" xfId="575" xr:uid="{00000000-0005-0000-0000-00005F000000}"/>
    <cellStyle name="Calculation 2 3 2" xfId="632" xr:uid="{00000000-0005-0000-0000-000060000000}"/>
    <cellStyle name="Calculation 2 4" xfId="545" xr:uid="{00000000-0005-0000-0000-000061000000}"/>
    <cellStyle name="Calculation 2 4 2" xfId="619" xr:uid="{00000000-0005-0000-0000-000062000000}"/>
    <cellStyle name="Calculation 2 5" xfId="361" xr:uid="{00000000-0005-0000-0000-000063000000}"/>
    <cellStyle name="Calculation 3" xfId="547" xr:uid="{00000000-0005-0000-0000-000064000000}"/>
    <cellStyle name="Calculation 4" xfId="577" xr:uid="{00000000-0005-0000-0000-000065000000}"/>
    <cellStyle name="Calculation 4 2" xfId="634" xr:uid="{00000000-0005-0000-0000-000066000000}"/>
    <cellStyle name="Calculation 5" xfId="544" xr:uid="{00000000-0005-0000-0000-000067000000}"/>
    <cellStyle name="Calculation 5 2" xfId="618" xr:uid="{00000000-0005-0000-0000-000068000000}"/>
    <cellStyle name="Calculation 6" xfId="360" xr:uid="{00000000-0005-0000-0000-000069000000}"/>
    <cellStyle name="Check Cell" xfId="84" builtinId="23" customBuiltin="1"/>
    <cellStyle name="Check Cell 2" xfId="85" xr:uid="{00000000-0005-0000-0000-00006B000000}"/>
    <cellStyle name="Comma" xfId="86" builtinId="3"/>
    <cellStyle name="Comma [0] 2" xfId="347" xr:uid="{00000000-0005-0000-0000-00006D000000}"/>
    <cellStyle name="Comma 10" xfId="343" xr:uid="{00000000-0005-0000-0000-00006E000000}"/>
    <cellStyle name="Comma 10 2" xfId="650" xr:uid="{00000000-0005-0000-0000-00006F000000}"/>
    <cellStyle name="Comma 11" xfId="354" xr:uid="{00000000-0005-0000-0000-000070000000}"/>
    <cellStyle name="Comma 11 2" xfId="549" xr:uid="{00000000-0005-0000-0000-000071000000}"/>
    <cellStyle name="Comma 11 2 2" xfId="685" xr:uid="{00000000-0005-0000-0000-000072000000}"/>
    <cellStyle name="Comma 11 3" xfId="731" xr:uid="{00000000-0005-0000-0000-000073000000}"/>
    <cellStyle name="Comma 12 2" xfId="87" xr:uid="{00000000-0005-0000-0000-000074000000}"/>
    <cellStyle name="Comma 12 2 2" xfId="550" xr:uid="{00000000-0005-0000-0000-000075000000}"/>
    <cellStyle name="Comma 12 2 2 2" xfId="702" xr:uid="{00000000-0005-0000-0000-000076000000}"/>
    <cellStyle name="Comma 12 2 2 3" xfId="620" xr:uid="{00000000-0005-0000-0000-000077000000}"/>
    <cellStyle name="Comma 12 2 3" xfId="362" xr:uid="{00000000-0005-0000-0000-000078000000}"/>
    <cellStyle name="Comma 12 2 3 2" xfId="651" xr:uid="{00000000-0005-0000-0000-000079000000}"/>
    <cellStyle name="Comma 12 2 4" xfId="689" xr:uid="{00000000-0005-0000-0000-00007A000000}"/>
    <cellStyle name="Comma 12 2 5" xfId="596" xr:uid="{00000000-0005-0000-0000-00007B000000}"/>
    <cellStyle name="Comma 141" xfId="734" xr:uid="{4C662C59-6466-4532-86C6-41150CF1DB99}"/>
    <cellStyle name="Comma 2" xfId="88" xr:uid="{00000000-0005-0000-0000-00007C000000}"/>
    <cellStyle name="Comma 2 2" xfId="89" xr:uid="{00000000-0005-0000-0000-00007D000000}"/>
    <cellStyle name="Comma 2 2 2" xfId="364" xr:uid="{00000000-0005-0000-0000-00007E000000}"/>
    <cellStyle name="Comma 2 3" xfId="363" xr:uid="{00000000-0005-0000-0000-00007F000000}"/>
    <cellStyle name="Comma 3" xfId="90" xr:uid="{00000000-0005-0000-0000-000080000000}"/>
    <cellStyle name="Comma 3 10" xfId="652" xr:uid="{00000000-0005-0000-0000-000081000000}"/>
    <cellStyle name="Comma 3 2" xfId="91" xr:uid="{00000000-0005-0000-0000-000082000000}"/>
    <cellStyle name="Comma 3 2 2" xfId="365" xr:uid="{00000000-0005-0000-0000-000083000000}"/>
    <cellStyle name="Comma 3 3" xfId="92" xr:uid="{00000000-0005-0000-0000-000084000000}"/>
    <cellStyle name="Comma 3 3 2" xfId="93" xr:uid="{00000000-0005-0000-0000-000085000000}"/>
    <cellStyle name="Comma 3 3 2 2" xfId="367" xr:uid="{00000000-0005-0000-0000-000086000000}"/>
    <cellStyle name="Comma 3 3 3" xfId="94" xr:uid="{00000000-0005-0000-0000-000087000000}"/>
    <cellStyle name="Comma 3 3 3 2" xfId="368" xr:uid="{00000000-0005-0000-0000-000088000000}"/>
    <cellStyle name="Comma 3 3 4" xfId="366" xr:uid="{00000000-0005-0000-0000-000089000000}"/>
    <cellStyle name="Comma 3 4" xfId="95" xr:uid="{00000000-0005-0000-0000-00008A000000}"/>
    <cellStyle name="Comma 3 4 2" xfId="96" xr:uid="{00000000-0005-0000-0000-00008B000000}"/>
    <cellStyle name="Comma 3 4 2 2" xfId="370" xr:uid="{00000000-0005-0000-0000-00008C000000}"/>
    <cellStyle name="Comma 3 4 3" xfId="97" xr:uid="{00000000-0005-0000-0000-00008D000000}"/>
    <cellStyle name="Comma 3 4 3 2" xfId="371" xr:uid="{00000000-0005-0000-0000-00008E000000}"/>
    <cellStyle name="Comma 3 4 4" xfId="369" xr:uid="{00000000-0005-0000-0000-00008F000000}"/>
    <cellStyle name="Comma 3 5" xfId="98" xr:uid="{00000000-0005-0000-0000-000090000000}"/>
    <cellStyle name="Comma 3 5 2" xfId="372" xr:uid="{00000000-0005-0000-0000-000091000000}"/>
    <cellStyle name="Comma 3 6" xfId="99" xr:uid="{00000000-0005-0000-0000-000092000000}"/>
    <cellStyle name="Comma 3 6 2" xfId="100" xr:uid="{00000000-0005-0000-0000-000093000000}"/>
    <cellStyle name="Comma 3 6 2 2" xfId="374" xr:uid="{00000000-0005-0000-0000-000094000000}"/>
    <cellStyle name="Comma 3 6 3" xfId="373" xr:uid="{00000000-0005-0000-0000-000095000000}"/>
    <cellStyle name="Comma 3 7" xfId="101" xr:uid="{00000000-0005-0000-0000-000096000000}"/>
    <cellStyle name="Comma 3 7 2" xfId="102" xr:uid="{00000000-0005-0000-0000-000097000000}"/>
    <cellStyle name="Comma 3 7 2 2" xfId="376" xr:uid="{00000000-0005-0000-0000-000098000000}"/>
    <cellStyle name="Comma 3 7 3" xfId="375" xr:uid="{00000000-0005-0000-0000-000099000000}"/>
    <cellStyle name="Comma 3 8" xfId="103" xr:uid="{00000000-0005-0000-0000-00009A000000}"/>
    <cellStyle name="Comma 3 8 2" xfId="551" xr:uid="{00000000-0005-0000-0000-00009B000000}"/>
    <cellStyle name="Comma 3 8 2 2" xfId="703" xr:uid="{00000000-0005-0000-0000-00009C000000}"/>
    <cellStyle name="Comma 3 8 3" xfId="377" xr:uid="{00000000-0005-0000-0000-00009D000000}"/>
    <cellStyle name="Comma 3 9" xfId="378" xr:uid="{00000000-0005-0000-0000-00009E000000}"/>
    <cellStyle name="Comma 3 9 2" xfId="552" xr:uid="{00000000-0005-0000-0000-00009F000000}"/>
    <cellStyle name="Comma 3 9 2 2" xfId="654" xr:uid="{00000000-0005-0000-0000-0000A0000000}"/>
    <cellStyle name="Comma 3 9 3" xfId="653" xr:uid="{00000000-0005-0000-0000-0000A1000000}"/>
    <cellStyle name="Comma 4" xfId="104" xr:uid="{00000000-0005-0000-0000-0000A2000000}"/>
    <cellStyle name="Comma 4 2" xfId="105" xr:uid="{00000000-0005-0000-0000-0000A3000000}"/>
    <cellStyle name="Comma 4 2 2" xfId="380" xr:uid="{00000000-0005-0000-0000-0000A4000000}"/>
    <cellStyle name="Comma 4 3" xfId="553" xr:uid="{00000000-0005-0000-0000-0000A5000000}"/>
    <cellStyle name="Comma 4 3 2" xfId="704" xr:uid="{00000000-0005-0000-0000-0000A6000000}"/>
    <cellStyle name="Comma 4 3 3" xfId="621" xr:uid="{00000000-0005-0000-0000-0000A7000000}"/>
    <cellStyle name="Comma 4 4" xfId="379" xr:uid="{00000000-0005-0000-0000-0000A8000000}"/>
    <cellStyle name="Comma 4 4 2" xfId="655" xr:uid="{00000000-0005-0000-0000-0000A9000000}"/>
    <cellStyle name="Comma 4 5" xfId="690" xr:uid="{00000000-0005-0000-0000-0000AA000000}"/>
    <cellStyle name="Comma 4 6" xfId="597" xr:uid="{00000000-0005-0000-0000-0000AB000000}"/>
    <cellStyle name="Comma 5" xfId="106" xr:uid="{00000000-0005-0000-0000-0000AC000000}"/>
    <cellStyle name="Comma 5 2" xfId="107" xr:uid="{00000000-0005-0000-0000-0000AD000000}"/>
    <cellStyle name="Comma 5 2 2" xfId="382" xr:uid="{00000000-0005-0000-0000-0000AE000000}"/>
    <cellStyle name="Comma 5 3" xfId="381" xr:uid="{00000000-0005-0000-0000-0000AF000000}"/>
    <cellStyle name="Comma 6" xfId="108" xr:uid="{00000000-0005-0000-0000-0000B0000000}"/>
    <cellStyle name="Comma 6 2" xfId="109" xr:uid="{00000000-0005-0000-0000-0000B1000000}"/>
    <cellStyle name="Comma 6 2 2" xfId="384" xr:uid="{00000000-0005-0000-0000-0000B2000000}"/>
    <cellStyle name="Comma 6 3" xfId="110" xr:uid="{00000000-0005-0000-0000-0000B3000000}"/>
    <cellStyle name="Comma 6 3 2" xfId="555" xr:uid="{00000000-0005-0000-0000-0000B4000000}"/>
    <cellStyle name="Comma 6 3 2 2" xfId="706" xr:uid="{00000000-0005-0000-0000-0000B5000000}"/>
    <cellStyle name="Comma 6 3 2 3" xfId="623" xr:uid="{00000000-0005-0000-0000-0000B6000000}"/>
    <cellStyle name="Comma 6 3 3" xfId="385" xr:uid="{00000000-0005-0000-0000-0000B7000000}"/>
    <cellStyle name="Comma 6 3 3 2" xfId="657" xr:uid="{00000000-0005-0000-0000-0000B8000000}"/>
    <cellStyle name="Comma 6 3 4" xfId="692" xr:uid="{00000000-0005-0000-0000-0000B9000000}"/>
    <cellStyle name="Comma 6 3 5" xfId="599" xr:uid="{00000000-0005-0000-0000-0000BA000000}"/>
    <cellStyle name="Comma 6 4" xfId="554" xr:uid="{00000000-0005-0000-0000-0000BB000000}"/>
    <cellStyle name="Comma 6 4 2" xfId="705" xr:uid="{00000000-0005-0000-0000-0000BC000000}"/>
    <cellStyle name="Comma 6 4 3" xfId="622" xr:uid="{00000000-0005-0000-0000-0000BD000000}"/>
    <cellStyle name="Comma 6 5" xfId="383" xr:uid="{00000000-0005-0000-0000-0000BE000000}"/>
    <cellStyle name="Comma 6 5 2" xfId="656" xr:uid="{00000000-0005-0000-0000-0000BF000000}"/>
    <cellStyle name="Comma 6 6" xfId="691" xr:uid="{00000000-0005-0000-0000-0000C0000000}"/>
    <cellStyle name="Comma 6 7" xfId="598" xr:uid="{00000000-0005-0000-0000-0000C1000000}"/>
    <cellStyle name="Comma 7" xfId="111" xr:uid="{00000000-0005-0000-0000-0000C2000000}"/>
    <cellStyle name="Comma 7 2" xfId="112" xr:uid="{00000000-0005-0000-0000-0000C3000000}"/>
    <cellStyle name="Comma 7 2 2" xfId="387" xr:uid="{00000000-0005-0000-0000-0000C4000000}"/>
    <cellStyle name="Comma 7 3" xfId="113" xr:uid="{00000000-0005-0000-0000-0000C5000000}"/>
    <cellStyle name="Comma 7 3 2" xfId="388" xr:uid="{00000000-0005-0000-0000-0000C6000000}"/>
    <cellStyle name="Comma 7 4" xfId="386" xr:uid="{00000000-0005-0000-0000-0000C7000000}"/>
    <cellStyle name="Comma 7 5" xfId="658" xr:uid="{00000000-0005-0000-0000-0000C8000000}"/>
    <cellStyle name="Comma 8" xfId="114" xr:uid="{00000000-0005-0000-0000-0000C9000000}"/>
    <cellStyle name="Comma 8 2" xfId="556" xr:uid="{00000000-0005-0000-0000-0000CA000000}"/>
    <cellStyle name="Comma 8 2 2" xfId="707" xr:uid="{00000000-0005-0000-0000-0000CB000000}"/>
    <cellStyle name="Comma 8 3" xfId="389" xr:uid="{00000000-0005-0000-0000-0000CC000000}"/>
    <cellStyle name="Comma 9" xfId="342" xr:uid="{00000000-0005-0000-0000-0000CD000000}"/>
    <cellStyle name="Comma 9 2" xfId="350" xr:uid="{00000000-0005-0000-0000-0000CE000000}"/>
    <cellStyle name="Comma 9 2 2" xfId="594" xr:uid="{00000000-0005-0000-0000-0000CF000000}"/>
    <cellStyle name="Comma 9 2 2 2" xfId="647" xr:uid="{00000000-0005-0000-0000-0000D0000000}"/>
    <cellStyle name="Comma 9 2 3" xfId="684" xr:uid="{00000000-0005-0000-0000-0000D1000000}"/>
    <cellStyle name="Comma 9 2 4" xfId="727" xr:uid="{00000000-0005-0000-0000-0000D2000000}"/>
    <cellStyle name="Comma 9 2 5" xfId="610" xr:uid="{00000000-0005-0000-0000-0000D3000000}"/>
    <cellStyle name="Comma 9 3" xfId="538" xr:uid="{00000000-0005-0000-0000-0000D4000000}"/>
    <cellStyle name="Comma 9 3 2" xfId="688" xr:uid="{00000000-0005-0000-0000-0000D5000000}"/>
    <cellStyle name="Comma 9 3 3" xfId="612" xr:uid="{00000000-0005-0000-0000-0000D6000000}"/>
    <cellStyle name="Comma 9 4" xfId="557" xr:uid="{00000000-0005-0000-0000-0000D7000000}"/>
    <cellStyle name="Comma 9 5" xfId="390" xr:uid="{00000000-0005-0000-0000-0000D8000000}"/>
    <cellStyle name="Comma_spp calc - revsd rev crd" xfId="115" xr:uid="{00000000-0005-0000-0000-0000D9000000}"/>
    <cellStyle name="Comma0" xfId="116" xr:uid="{00000000-0005-0000-0000-0000DA000000}"/>
    <cellStyle name="Comma0 2" xfId="391" xr:uid="{00000000-0005-0000-0000-0000DB000000}"/>
    <cellStyle name="Currency" xfId="117" builtinId="4"/>
    <cellStyle name="Currency [0] 2" xfId="346" xr:uid="{00000000-0005-0000-0000-0000DD000000}"/>
    <cellStyle name="Currency 10" xfId="558" xr:uid="{00000000-0005-0000-0000-0000DE000000}"/>
    <cellStyle name="Currency 10 2" xfId="686" xr:uid="{00000000-0005-0000-0000-0000DF000000}"/>
    <cellStyle name="Currency 2" xfId="118" xr:uid="{00000000-0005-0000-0000-0000E0000000}"/>
    <cellStyle name="Currency 2 2" xfId="119" xr:uid="{00000000-0005-0000-0000-0000E1000000}"/>
    <cellStyle name="Currency 2 2 2" xfId="393" xr:uid="{00000000-0005-0000-0000-0000E2000000}"/>
    <cellStyle name="Currency 2 3" xfId="392" xr:uid="{00000000-0005-0000-0000-0000E3000000}"/>
    <cellStyle name="Currency 3" xfId="120" xr:uid="{00000000-0005-0000-0000-0000E4000000}"/>
    <cellStyle name="Currency 3 2" xfId="121" xr:uid="{00000000-0005-0000-0000-0000E5000000}"/>
    <cellStyle name="Currency 3 2 2" xfId="394" xr:uid="{00000000-0005-0000-0000-0000E6000000}"/>
    <cellStyle name="Currency 3 3" xfId="122" xr:uid="{00000000-0005-0000-0000-0000E7000000}"/>
    <cellStyle name="Currency 3 3 2" xfId="123" xr:uid="{00000000-0005-0000-0000-0000E8000000}"/>
    <cellStyle name="Currency 3 3 2 2" xfId="396" xr:uid="{00000000-0005-0000-0000-0000E9000000}"/>
    <cellStyle name="Currency 3 3 3" xfId="124" xr:uid="{00000000-0005-0000-0000-0000EA000000}"/>
    <cellStyle name="Currency 3 3 3 2" xfId="397" xr:uid="{00000000-0005-0000-0000-0000EB000000}"/>
    <cellStyle name="Currency 3 3 4" xfId="395" xr:uid="{00000000-0005-0000-0000-0000EC000000}"/>
    <cellStyle name="Currency 3 4" xfId="125" xr:uid="{00000000-0005-0000-0000-0000ED000000}"/>
    <cellStyle name="Currency 3 4 2" xfId="126" xr:uid="{00000000-0005-0000-0000-0000EE000000}"/>
    <cellStyle name="Currency 3 4 2 2" xfId="399" xr:uid="{00000000-0005-0000-0000-0000EF000000}"/>
    <cellStyle name="Currency 3 4 3" xfId="127" xr:uid="{00000000-0005-0000-0000-0000F0000000}"/>
    <cellStyle name="Currency 3 4 3 2" xfId="400" xr:uid="{00000000-0005-0000-0000-0000F1000000}"/>
    <cellStyle name="Currency 3 4 4" xfId="398" xr:uid="{00000000-0005-0000-0000-0000F2000000}"/>
    <cellStyle name="Currency 3 5" xfId="128" xr:uid="{00000000-0005-0000-0000-0000F3000000}"/>
    <cellStyle name="Currency 3 5 2" xfId="401" xr:uid="{00000000-0005-0000-0000-0000F4000000}"/>
    <cellStyle name="Currency 3 6" xfId="129" xr:uid="{00000000-0005-0000-0000-0000F5000000}"/>
    <cellStyle name="Currency 3 6 2" xfId="130" xr:uid="{00000000-0005-0000-0000-0000F6000000}"/>
    <cellStyle name="Currency 3 6 2 2" xfId="403" xr:uid="{00000000-0005-0000-0000-0000F7000000}"/>
    <cellStyle name="Currency 3 6 3" xfId="402" xr:uid="{00000000-0005-0000-0000-0000F8000000}"/>
    <cellStyle name="Currency 3 7" xfId="131" xr:uid="{00000000-0005-0000-0000-0000F9000000}"/>
    <cellStyle name="Currency 3 7 2" xfId="559" xr:uid="{00000000-0005-0000-0000-0000FA000000}"/>
    <cellStyle name="Currency 3 7 2 2" xfId="708" xr:uid="{00000000-0005-0000-0000-0000FB000000}"/>
    <cellStyle name="Currency 3 7 3" xfId="404" xr:uid="{00000000-0005-0000-0000-0000FC000000}"/>
    <cellStyle name="Currency 3 8" xfId="405" xr:uid="{00000000-0005-0000-0000-0000FD000000}"/>
    <cellStyle name="Currency 3 8 2" xfId="560" xr:uid="{00000000-0005-0000-0000-0000FE000000}"/>
    <cellStyle name="Currency 3 8 3" xfId="659" xr:uid="{00000000-0005-0000-0000-0000FF000000}"/>
    <cellStyle name="Currency 3 9" xfId="660" xr:uid="{00000000-0005-0000-0000-000000010000}"/>
    <cellStyle name="Currency 4" xfId="132" xr:uid="{00000000-0005-0000-0000-000001010000}"/>
    <cellStyle name="Currency 4 2" xfId="133" xr:uid="{00000000-0005-0000-0000-000002010000}"/>
    <cellStyle name="Currency 4 2 2" xfId="407" xr:uid="{00000000-0005-0000-0000-000003010000}"/>
    <cellStyle name="Currency 4 3" xfId="561" xr:uid="{00000000-0005-0000-0000-000004010000}"/>
    <cellStyle name="Currency 4 3 2" xfId="709" xr:uid="{00000000-0005-0000-0000-000005010000}"/>
    <cellStyle name="Currency 4 3 3" xfId="624" xr:uid="{00000000-0005-0000-0000-000006010000}"/>
    <cellStyle name="Currency 4 4" xfId="406" xr:uid="{00000000-0005-0000-0000-000007010000}"/>
    <cellStyle name="Currency 4 4 2" xfId="661" xr:uid="{00000000-0005-0000-0000-000008010000}"/>
    <cellStyle name="Currency 4 5" xfId="693" xr:uid="{00000000-0005-0000-0000-000009010000}"/>
    <cellStyle name="Currency 4 6" xfId="600" xr:uid="{00000000-0005-0000-0000-00000A010000}"/>
    <cellStyle name="Currency 5" xfId="134" xr:uid="{00000000-0005-0000-0000-00000B010000}"/>
    <cellStyle name="Currency 5 2" xfId="135" xr:uid="{00000000-0005-0000-0000-00000C010000}"/>
    <cellStyle name="Currency 5 2 2" xfId="409" xr:uid="{00000000-0005-0000-0000-00000D010000}"/>
    <cellStyle name="Currency 5 3" xfId="408" xr:uid="{00000000-0005-0000-0000-00000E010000}"/>
    <cellStyle name="Currency 6" xfId="136" xr:uid="{00000000-0005-0000-0000-00000F010000}"/>
    <cellStyle name="Currency 6 2" xfId="562" xr:uid="{00000000-0005-0000-0000-000010010000}"/>
    <cellStyle name="Currency 6 2 2" xfId="710" xr:uid="{00000000-0005-0000-0000-000011010000}"/>
    <cellStyle name="Currency 6 2 3" xfId="625" xr:uid="{00000000-0005-0000-0000-000012010000}"/>
    <cellStyle name="Currency 6 3" xfId="410" xr:uid="{00000000-0005-0000-0000-000013010000}"/>
    <cellStyle name="Currency 6 3 2" xfId="662" xr:uid="{00000000-0005-0000-0000-000014010000}"/>
    <cellStyle name="Currency 6 4" xfId="694" xr:uid="{00000000-0005-0000-0000-000015010000}"/>
    <cellStyle name="Currency 6 5" xfId="601" xr:uid="{00000000-0005-0000-0000-000016010000}"/>
    <cellStyle name="Currency 7" xfId="137" xr:uid="{00000000-0005-0000-0000-000017010000}"/>
    <cellStyle name="Currency 7 2" xfId="563" xr:uid="{00000000-0005-0000-0000-000018010000}"/>
    <cellStyle name="Currency 7 2 2" xfId="711" xr:uid="{00000000-0005-0000-0000-000019010000}"/>
    <cellStyle name="Currency 7 3" xfId="411" xr:uid="{00000000-0005-0000-0000-00001A010000}"/>
    <cellStyle name="Currency 8" xfId="345" xr:uid="{00000000-0005-0000-0000-00001B010000}"/>
    <cellStyle name="Currency 8 2" xfId="564" xr:uid="{00000000-0005-0000-0000-00001C010000}"/>
    <cellStyle name="Currency 8 3" xfId="412" xr:uid="{00000000-0005-0000-0000-00001D010000}"/>
    <cellStyle name="Currency 9" xfId="353" xr:uid="{00000000-0005-0000-0000-00001E010000}"/>
    <cellStyle name="Currency 9 2" xfId="663" xr:uid="{00000000-0005-0000-0000-00001F010000}"/>
    <cellStyle name="Currency0" xfId="138" xr:uid="{00000000-0005-0000-0000-000020010000}"/>
    <cellStyle name="Currency0 2" xfId="413" xr:uid="{00000000-0005-0000-0000-000021010000}"/>
    <cellStyle name="Date" xfId="139" xr:uid="{00000000-0005-0000-0000-000022010000}"/>
    <cellStyle name="Date 2" xfId="414" xr:uid="{00000000-0005-0000-0000-000023010000}"/>
    <cellStyle name="Explanatory Text" xfId="140" builtinId="53" customBuiltin="1"/>
    <cellStyle name="Explanatory Text 2" xfId="141" xr:uid="{00000000-0005-0000-0000-000025010000}"/>
    <cellStyle name="Fixed" xfId="142" xr:uid="{00000000-0005-0000-0000-000026010000}"/>
    <cellStyle name="Fixed 2" xfId="415" xr:uid="{00000000-0005-0000-0000-000027010000}"/>
    <cellStyle name="Good" xfId="143" builtinId="26" customBuiltin="1"/>
    <cellStyle name="Good 2" xfId="144" xr:uid="{00000000-0005-0000-0000-000029010000}"/>
    <cellStyle name="Heading 1" xfId="145" builtinId="16" customBuiltin="1"/>
    <cellStyle name="Heading 1 2" xfId="146" xr:uid="{00000000-0005-0000-0000-00002B010000}"/>
    <cellStyle name="Heading 2" xfId="147" builtinId="17" customBuiltin="1"/>
    <cellStyle name="Heading 2 2" xfId="148" xr:uid="{00000000-0005-0000-0000-00002D010000}"/>
    <cellStyle name="Heading 3" xfId="149" builtinId="18" customBuiltin="1"/>
    <cellStyle name="Heading 3 2" xfId="150" xr:uid="{00000000-0005-0000-0000-00002F010000}"/>
    <cellStyle name="Heading 4" xfId="151" builtinId="19" customBuiltin="1"/>
    <cellStyle name="Heading 4 2" xfId="152" xr:uid="{00000000-0005-0000-0000-000031010000}"/>
    <cellStyle name="Heading1" xfId="153" xr:uid="{00000000-0005-0000-0000-000032010000}"/>
    <cellStyle name="Heading2" xfId="154" xr:uid="{00000000-0005-0000-0000-000033010000}"/>
    <cellStyle name="Input" xfId="155" builtinId="20" customBuiltin="1"/>
    <cellStyle name="Input 2" xfId="156" xr:uid="{00000000-0005-0000-0000-000035010000}"/>
    <cellStyle name="Input 2 2" xfId="568" xr:uid="{00000000-0005-0000-0000-000036010000}"/>
    <cellStyle name="Input 2 3" xfId="569" xr:uid="{00000000-0005-0000-0000-000037010000}"/>
    <cellStyle name="Input 2 3 2" xfId="628" xr:uid="{00000000-0005-0000-0000-000038010000}"/>
    <cellStyle name="Input 2 4" xfId="566" xr:uid="{00000000-0005-0000-0000-000039010000}"/>
    <cellStyle name="Input 2 4 2" xfId="627" xr:uid="{00000000-0005-0000-0000-00003A010000}"/>
    <cellStyle name="Input 2 5" xfId="417" xr:uid="{00000000-0005-0000-0000-00003B010000}"/>
    <cellStyle name="Input 3" xfId="567" xr:uid="{00000000-0005-0000-0000-00003C010000}"/>
    <cellStyle name="Input 4" xfId="570" xr:uid="{00000000-0005-0000-0000-00003D010000}"/>
    <cellStyle name="Input 4 2" xfId="629" xr:uid="{00000000-0005-0000-0000-00003E010000}"/>
    <cellStyle name="Input 5" xfId="565" xr:uid="{00000000-0005-0000-0000-00003F010000}"/>
    <cellStyle name="Input 5 2" xfId="626" xr:uid="{00000000-0005-0000-0000-000040010000}"/>
    <cellStyle name="Input 6" xfId="416" xr:uid="{00000000-0005-0000-0000-000041010000}"/>
    <cellStyle name="Linked Cell" xfId="157" builtinId="24" customBuiltin="1"/>
    <cellStyle name="Linked Cell 2" xfId="158" xr:uid="{00000000-0005-0000-0000-000043010000}"/>
    <cellStyle name="Neutral" xfId="159" builtinId="28" customBuiltin="1"/>
    <cellStyle name="Neutral 2" xfId="160" xr:uid="{00000000-0005-0000-0000-000045010000}"/>
    <cellStyle name="Normal" xfId="0" builtinId="0"/>
    <cellStyle name="Normal 10" xfId="161" xr:uid="{00000000-0005-0000-0000-000047010000}"/>
    <cellStyle name="Normal 10 2" xfId="162" xr:uid="{00000000-0005-0000-0000-000048010000}"/>
    <cellStyle name="Normal 10 2 2" xfId="419" xr:uid="{00000000-0005-0000-0000-000049010000}"/>
    <cellStyle name="Normal 10 3" xfId="163" xr:uid="{00000000-0005-0000-0000-00004A010000}"/>
    <cellStyle name="Normal 10 3 2" xfId="420" xr:uid="{00000000-0005-0000-0000-00004B010000}"/>
    <cellStyle name="Normal 10 4" xfId="418" xr:uid="{00000000-0005-0000-0000-00004C010000}"/>
    <cellStyle name="Normal 11" xfId="164" xr:uid="{00000000-0005-0000-0000-00004D010000}"/>
    <cellStyle name="Normal 11 2" xfId="165" xr:uid="{00000000-0005-0000-0000-00004E010000}"/>
    <cellStyle name="Normal 11 2 2" xfId="338" xr:uid="{00000000-0005-0000-0000-00004F010000}"/>
    <cellStyle name="Normal 11 2 2 2" xfId="712" xr:uid="{00000000-0005-0000-0000-000050010000}"/>
    <cellStyle name="Normal 11 2 3" xfId="664" xr:uid="{00000000-0005-0000-0000-000051010000}"/>
    <cellStyle name="Normal 11 3" xfId="166" xr:uid="{00000000-0005-0000-0000-000052010000}"/>
    <cellStyle name="Normal 11 3 2" xfId="422" xr:uid="{00000000-0005-0000-0000-000053010000}"/>
    <cellStyle name="Normal 11 4" xfId="421" xr:uid="{00000000-0005-0000-0000-000054010000}"/>
    <cellStyle name="Normal 12" xfId="167" xr:uid="{00000000-0005-0000-0000-000055010000}"/>
    <cellStyle name="Normal 12 2" xfId="168" xr:uid="{00000000-0005-0000-0000-000056010000}"/>
    <cellStyle name="Normal 12 2 2" xfId="424" xr:uid="{00000000-0005-0000-0000-000057010000}"/>
    <cellStyle name="Normal 12 3" xfId="423" xr:uid="{00000000-0005-0000-0000-000058010000}"/>
    <cellStyle name="Normal 12 4" xfId="169" xr:uid="{00000000-0005-0000-0000-000059010000}"/>
    <cellStyle name="Normal 12 4 2" xfId="571" xr:uid="{00000000-0005-0000-0000-00005A010000}"/>
    <cellStyle name="Normal 12 4 2 2" xfId="713" xr:uid="{00000000-0005-0000-0000-00005B010000}"/>
    <cellStyle name="Normal 12 4 2 3" xfId="630" xr:uid="{00000000-0005-0000-0000-00005C010000}"/>
    <cellStyle name="Normal 12 4 3" xfId="425" xr:uid="{00000000-0005-0000-0000-00005D010000}"/>
    <cellStyle name="Normal 12 4 3 2" xfId="665" xr:uid="{00000000-0005-0000-0000-00005E010000}"/>
    <cellStyle name="Normal 12 4 4" xfId="695" xr:uid="{00000000-0005-0000-0000-00005F010000}"/>
    <cellStyle name="Normal 12 4 5" xfId="602" xr:uid="{00000000-0005-0000-0000-000060010000}"/>
    <cellStyle name="Normal 13" xfId="170" xr:uid="{00000000-0005-0000-0000-000061010000}"/>
    <cellStyle name="Normal 13 2" xfId="171" xr:uid="{00000000-0005-0000-0000-000062010000}"/>
    <cellStyle name="Normal 13 2 2" xfId="427" xr:uid="{00000000-0005-0000-0000-000063010000}"/>
    <cellStyle name="Normal 13 3" xfId="426" xr:uid="{00000000-0005-0000-0000-000064010000}"/>
    <cellStyle name="Normal 14" xfId="172" xr:uid="{00000000-0005-0000-0000-000065010000}"/>
    <cellStyle name="Normal 14 2" xfId="173" xr:uid="{00000000-0005-0000-0000-000066010000}"/>
    <cellStyle name="Normal 14 2 2" xfId="429" xr:uid="{00000000-0005-0000-0000-000067010000}"/>
    <cellStyle name="Normal 14 3" xfId="428" xr:uid="{00000000-0005-0000-0000-000068010000}"/>
    <cellStyle name="Normal 15" xfId="174" xr:uid="{00000000-0005-0000-0000-000069010000}"/>
    <cellStyle name="Normal 15 2" xfId="430" xr:uid="{00000000-0005-0000-0000-00006A010000}"/>
    <cellStyle name="Normal 16" xfId="175" xr:uid="{00000000-0005-0000-0000-00006B010000}"/>
    <cellStyle name="Normal 16 2" xfId="176" xr:uid="{00000000-0005-0000-0000-00006C010000}"/>
    <cellStyle name="Normal 16 2 2" xfId="432" xr:uid="{00000000-0005-0000-0000-00006D010000}"/>
    <cellStyle name="Normal 16 3" xfId="431" xr:uid="{00000000-0005-0000-0000-00006E010000}"/>
    <cellStyle name="Normal 17" xfId="177" xr:uid="{00000000-0005-0000-0000-00006F010000}"/>
    <cellStyle name="Normal 17 2" xfId="178" xr:uid="{00000000-0005-0000-0000-000070010000}"/>
    <cellStyle name="Normal 17 2 2" xfId="434" xr:uid="{00000000-0005-0000-0000-000071010000}"/>
    <cellStyle name="Normal 17 3" xfId="433" xr:uid="{00000000-0005-0000-0000-000072010000}"/>
    <cellStyle name="Normal 18" xfId="179" xr:uid="{00000000-0005-0000-0000-000073010000}"/>
    <cellStyle name="Normal 18 2" xfId="180" xr:uid="{00000000-0005-0000-0000-000074010000}"/>
    <cellStyle name="Normal 18 2 2" xfId="436" xr:uid="{00000000-0005-0000-0000-000075010000}"/>
    <cellStyle name="Normal 18 3" xfId="435" xr:uid="{00000000-0005-0000-0000-000076010000}"/>
    <cellStyle name="Normal 19" xfId="181" xr:uid="{00000000-0005-0000-0000-000077010000}"/>
    <cellStyle name="Normal 19 2" xfId="182" xr:uid="{00000000-0005-0000-0000-000078010000}"/>
    <cellStyle name="Normal 19 2 2" xfId="438" xr:uid="{00000000-0005-0000-0000-000079010000}"/>
    <cellStyle name="Normal 19 3" xfId="437" xr:uid="{00000000-0005-0000-0000-00007A010000}"/>
    <cellStyle name="Normal 2" xfId="183" xr:uid="{00000000-0005-0000-0000-00007B010000}"/>
    <cellStyle name="Normal 2 2" xfId="184" xr:uid="{00000000-0005-0000-0000-00007C010000}"/>
    <cellStyle name="Normal 2 2 2" xfId="185" xr:uid="{00000000-0005-0000-0000-00007D010000}"/>
    <cellStyle name="Normal 2 2 3" xfId="186" xr:uid="{00000000-0005-0000-0000-00007E010000}"/>
    <cellStyle name="Normal 2 2 3 2" xfId="441" xr:uid="{00000000-0005-0000-0000-00007F010000}"/>
    <cellStyle name="Normal 2 2 4" xfId="187" xr:uid="{00000000-0005-0000-0000-000080010000}"/>
    <cellStyle name="Normal 2 2 4 2" xfId="442" xr:uid="{00000000-0005-0000-0000-000081010000}"/>
    <cellStyle name="Normal 2 2 5" xfId="440" xr:uid="{00000000-0005-0000-0000-000082010000}"/>
    <cellStyle name="Normal 2 3" xfId="188" xr:uid="{00000000-0005-0000-0000-000083010000}"/>
    <cellStyle name="Normal 2 4" xfId="439" xr:uid="{00000000-0005-0000-0000-000084010000}"/>
    <cellStyle name="Normal 2 5" xfId="189" xr:uid="{00000000-0005-0000-0000-000085010000}"/>
    <cellStyle name="Normal 2 5 2" xfId="190" xr:uid="{00000000-0005-0000-0000-000086010000}"/>
    <cellStyle name="Normal 2 5 2 2" xfId="444" xr:uid="{00000000-0005-0000-0000-000087010000}"/>
    <cellStyle name="Normal 2 5 3" xfId="443" xr:uid="{00000000-0005-0000-0000-000088010000}"/>
    <cellStyle name="Normal 2 6" xfId="666" xr:uid="{00000000-0005-0000-0000-000089010000}"/>
    <cellStyle name="Normal 20" xfId="191" xr:uid="{00000000-0005-0000-0000-00008A010000}"/>
    <cellStyle name="Normal 20 2" xfId="192" xr:uid="{00000000-0005-0000-0000-00008B010000}"/>
    <cellStyle name="Normal 20 2 2" xfId="446" xr:uid="{00000000-0005-0000-0000-00008C010000}"/>
    <cellStyle name="Normal 20 3" xfId="445" xr:uid="{00000000-0005-0000-0000-00008D010000}"/>
    <cellStyle name="Normal 21" xfId="193" xr:uid="{00000000-0005-0000-0000-00008E010000}"/>
    <cellStyle name="Normal 21 2" xfId="194" xr:uid="{00000000-0005-0000-0000-00008F010000}"/>
    <cellStyle name="Normal 21 2 2" xfId="448" xr:uid="{00000000-0005-0000-0000-000090010000}"/>
    <cellStyle name="Normal 21 3" xfId="447" xr:uid="{00000000-0005-0000-0000-000091010000}"/>
    <cellStyle name="Normal 22" xfId="195" xr:uid="{00000000-0005-0000-0000-000092010000}"/>
    <cellStyle name="Normal 22 2" xfId="196" xr:uid="{00000000-0005-0000-0000-000093010000}"/>
    <cellStyle name="Normal 22 2 2" xfId="450" xr:uid="{00000000-0005-0000-0000-000094010000}"/>
    <cellStyle name="Normal 22 3" xfId="449" xr:uid="{00000000-0005-0000-0000-000095010000}"/>
    <cellStyle name="Normal 23" xfId="197" xr:uid="{00000000-0005-0000-0000-000096010000}"/>
    <cellStyle name="Normal 23 2" xfId="198" xr:uid="{00000000-0005-0000-0000-000097010000}"/>
    <cellStyle name="Normal 23 2 2" xfId="452" xr:uid="{00000000-0005-0000-0000-000098010000}"/>
    <cellStyle name="Normal 23 3" xfId="451" xr:uid="{00000000-0005-0000-0000-000099010000}"/>
    <cellStyle name="Normal 24" xfId="199" xr:uid="{00000000-0005-0000-0000-00009A010000}"/>
    <cellStyle name="Normal 24 2" xfId="200" xr:uid="{00000000-0005-0000-0000-00009B010000}"/>
    <cellStyle name="Normal 24 2 2" xfId="454" xr:uid="{00000000-0005-0000-0000-00009C010000}"/>
    <cellStyle name="Normal 24 3" xfId="453" xr:uid="{00000000-0005-0000-0000-00009D010000}"/>
    <cellStyle name="Normal 25" xfId="201" xr:uid="{00000000-0005-0000-0000-00009E010000}"/>
    <cellStyle name="Normal 25 2" xfId="202" xr:uid="{00000000-0005-0000-0000-00009F010000}"/>
    <cellStyle name="Normal 25 2 2" xfId="456" xr:uid="{00000000-0005-0000-0000-0000A0010000}"/>
    <cellStyle name="Normal 25 3" xfId="455" xr:uid="{00000000-0005-0000-0000-0000A1010000}"/>
    <cellStyle name="Normal 26" xfId="203" xr:uid="{00000000-0005-0000-0000-0000A2010000}"/>
    <cellStyle name="Normal 26 2" xfId="204" xr:uid="{00000000-0005-0000-0000-0000A3010000}"/>
    <cellStyle name="Normal 26 2 2" xfId="458" xr:uid="{00000000-0005-0000-0000-0000A4010000}"/>
    <cellStyle name="Normal 26 3" xfId="457" xr:uid="{00000000-0005-0000-0000-0000A5010000}"/>
    <cellStyle name="Normal 27" xfId="205" xr:uid="{00000000-0005-0000-0000-0000A6010000}"/>
    <cellStyle name="Normal 27 2" xfId="459" xr:uid="{00000000-0005-0000-0000-0000A7010000}"/>
    <cellStyle name="Normal 28" xfId="206" xr:uid="{00000000-0005-0000-0000-0000A8010000}"/>
    <cellStyle name="Normal 28 2" xfId="207" xr:uid="{00000000-0005-0000-0000-0000A9010000}"/>
    <cellStyle name="Normal 28 2 2" xfId="461" xr:uid="{00000000-0005-0000-0000-0000AA010000}"/>
    <cellStyle name="Normal 28 3" xfId="460" xr:uid="{00000000-0005-0000-0000-0000AB010000}"/>
    <cellStyle name="Normal 29" xfId="208" xr:uid="{00000000-0005-0000-0000-0000AC010000}"/>
    <cellStyle name="Normal 29 2" xfId="209" xr:uid="{00000000-0005-0000-0000-0000AD010000}"/>
    <cellStyle name="Normal 29 2 2" xfId="463" xr:uid="{00000000-0005-0000-0000-0000AE010000}"/>
    <cellStyle name="Normal 29 3" xfId="462" xr:uid="{00000000-0005-0000-0000-0000AF010000}"/>
    <cellStyle name="Normal 3" xfId="210" xr:uid="{00000000-0005-0000-0000-0000B0010000}"/>
    <cellStyle name="Normal 3 2" xfId="211" xr:uid="{00000000-0005-0000-0000-0000B1010000}"/>
    <cellStyle name="Normal 3 2 2" xfId="465" xr:uid="{00000000-0005-0000-0000-0000B2010000}"/>
    <cellStyle name="Normal 3 3" xfId="212" xr:uid="{00000000-0005-0000-0000-0000B3010000}"/>
    <cellStyle name="Normal 3 3 2" xfId="466" xr:uid="{00000000-0005-0000-0000-0000B4010000}"/>
    <cellStyle name="Normal 3 4" xfId="464" xr:uid="{00000000-0005-0000-0000-0000B5010000}"/>
    <cellStyle name="Normal 3_Attach O, GG, Support -New Method 2-14-11" xfId="213" xr:uid="{00000000-0005-0000-0000-0000B6010000}"/>
    <cellStyle name="Normal 30" xfId="336" xr:uid="{00000000-0005-0000-0000-0000B7010000}"/>
    <cellStyle name="Normal 30 2" xfId="537" xr:uid="{00000000-0005-0000-0000-0000B8010000}"/>
    <cellStyle name="Normal 30 2 2" xfId="667" xr:uid="{00000000-0005-0000-0000-0000B9010000}"/>
    <cellStyle name="Normal 30 3" xfId="724" xr:uid="{00000000-0005-0000-0000-0000BA010000}"/>
    <cellStyle name="Normal 31" xfId="341" xr:uid="{00000000-0005-0000-0000-0000BB010000}"/>
    <cellStyle name="Normal 31 2" xfId="337" xr:uid="{00000000-0005-0000-0000-0000BC010000}"/>
    <cellStyle name="Normal 31 2 2" xfId="351" xr:uid="{00000000-0005-0000-0000-0000BD010000}"/>
    <cellStyle name="Normal 31 2 2 2" xfId="645" xr:uid="{00000000-0005-0000-0000-0000BE010000}"/>
    <cellStyle name="Normal 31 2 3" xfId="687" xr:uid="{00000000-0005-0000-0000-0000BF010000}"/>
    <cellStyle name="Normal 31 2 4" xfId="725" xr:uid="{00000000-0005-0000-0000-0000C0010000}"/>
    <cellStyle name="Normal 31 2 5" xfId="609" xr:uid="{00000000-0005-0000-0000-0000C1010000}"/>
    <cellStyle name="Normal 31 2 6" xfId="730" xr:uid="{00000000-0005-0000-0000-0000C2010000}"/>
    <cellStyle name="Normal 31 3" xfId="349" xr:uid="{00000000-0005-0000-0000-0000C3010000}"/>
    <cellStyle name="Normal 31 3 2" xfId="682" xr:uid="{00000000-0005-0000-0000-0000C4010000}"/>
    <cellStyle name="Normal 31 3 3" xfId="732" xr:uid="{00000000-0005-0000-0000-0000C5010000}"/>
    <cellStyle name="Normal 31 4" xfId="726" xr:uid="{00000000-0005-0000-0000-0000C6010000}"/>
    <cellStyle name="Normal 31 5" xfId="611" xr:uid="{00000000-0005-0000-0000-0000C7010000}"/>
    <cellStyle name="Normal 32" xfId="344" xr:uid="{00000000-0005-0000-0000-0000C8010000}"/>
    <cellStyle name="Normal 32 2" xfId="729" xr:uid="{00000000-0005-0000-0000-0000C9010000}"/>
    <cellStyle name="Normal 33" xfId="352" xr:uid="{00000000-0005-0000-0000-0000CA010000}"/>
    <cellStyle name="Normal 34" xfId="649" xr:uid="{00000000-0005-0000-0000-0000CB010000}"/>
    <cellStyle name="Normal 4" xfId="214" xr:uid="{00000000-0005-0000-0000-0000CC010000}"/>
    <cellStyle name="Normal 4 10" xfId="668" xr:uid="{00000000-0005-0000-0000-0000CD010000}"/>
    <cellStyle name="Normal 4 2" xfId="215" xr:uid="{00000000-0005-0000-0000-0000CE010000}"/>
    <cellStyle name="Normal 4 2 2" xfId="467" xr:uid="{00000000-0005-0000-0000-0000CF010000}"/>
    <cellStyle name="Normal 4 3" xfId="216" xr:uid="{00000000-0005-0000-0000-0000D0010000}"/>
    <cellStyle name="Normal 4 3 2" xfId="217" xr:uid="{00000000-0005-0000-0000-0000D1010000}"/>
    <cellStyle name="Normal 4 3 2 2" xfId="469" xr:uid="{00000000-0005-0000-0000-0000D2010000}"/>
    <cellStyle name="Normal 4 3 3" xfId="218" xr:uid="{00000000-0005-0000-0000-0000D3010000}"/>
    <cellStyle name="Normal 4 3 3 2" xfId="470" xr:uid="{00000000-0005-0000-0000-0000D4010000}"/>
    <cellStyle name="Normal 4 3 4" xfId="468" xr:uid="{00000000-0005-0000-0000-0000D5010000}"/>
    <cellStyle name="Normal 4 4" xfId="219" xr:uid="{00000000-0005-0000-0000-0000D6010000}"/>
    <cellStyle name="Normal 4 4 2" xfId="220" xr:uid="{00000000-0005-0000-0000-0000D7010000}"/>
    <cellStyle name="Normal 4 4 2 2" xfId="472" xr:uid="{00000000-0005-0000-0000-0000D8010000}"/>
    <cellStyle name="Normal 4 4 3" xfId="221" xr:uid="{00000000-0005-0000-0000-0000D9010000}"/>
    <cellStyle name="Normal 4 4 3 2" xfId="473" xr:uid="{00000000-0005-0000-0000-0000DA010000}"/>
    <cellStyle name="Normal 4 4 4" xfId="471" xr:uid="{00000000-0005-0000-0000-0000DB010000}"/>
    <cellStyle name="Normal 4 5" xfId="222" xr:uid="{00000000-0005-0000-0000-0000DC010000}"/>
    <cellStyle name="Normal 4 5 2" xfId="474" xr:uid="{00000000-0005-0000-0000-0000DD010000}"/>
    <cellStyle name="Normal 4 6" xfId="223" xr:uid="{00000000-0005-0000-0000-0000DE010000}"/>
    <cellStyle name="Normal 4 6 2" xfId="224" xr:uid="{00000000-0005-0000-0000-0000DF010000}"/>
    <cellStyle name="Normal 4 6 2 2" xfId="476" xr:uid="{00000000-0005-0000-0000-0000E0010000}"/>
    <cellStyle name="Normal 4 6 3" xfId="475" xr:uid="{00000000-0005-0000-0000-0000E1010000}"/>
    <cellStyle name="Normal 4 7" xfId="225" xr:uid="{00000000-0005-0000-0000-0000E2010000}"/>
    <cellStyle name="Normal 4 7 2" xfId="226" xr:uid="{00000000-0005-0000-0000-0000E3010000}"/>
    <cellStyle name="Normal 4 7 2 2" xfId="478" xr:uid="{00000000-0005-0000-0000-0000E4010000}"/>
    <cellStyle name="Normal 4 7 3" xfId="477" xr:uid="{00000000-0005-0000-0000-0000E5010000}"/>
    <cellStyle name="Normal 4 8" xfId="227" xr:uid="{00000000-0005-0000-0000-0000E6010000}"/>
    <cellStyle name="Normal 4 8 2" xfId="572" xr:uid="{00000000-0005-0000-0000-0000E7010000}"/>
    <cellStyle name="Normal 4 8 2 2" xfId="714" xr:uid="{00000000-0005-0000-0000-0000E8010000}"/>
    <cellStyle name="Normal 4 8 3" xfId="479" xr:uid="{00000000-0005-0000-0000-0000E9010000}"/>
    <cellStyle name="Normal 4 9" xfId="480" xr:uid="{00000000-0005-0000-0000-0000EA010000}"/>
    <cellStyle name="Normal 4 9 2" xfId="573" xr:uid="{00000000-0005-0000-0000-0000EB010000}"/>
    <cellStyle name="Normal 4 9 3" xfId="669" xr:uid="{00000000-0005-0000-0000-0000EC010000}"/>
    <cellStyle name="Normal 4_PBOP Exhibit 1" xfId="228" xr:uid="{00000000-0005-0000-0000-0000ED010000}"/>
    <cellStyle name="Normal 5" xfId="229" xr:uid="{00000000-0005-0000-0000-0000EE010000}"/>
    <cellStyle name="Normal 5 2" xfId="230" xr:uid="{00000000-0005-0000-0000-0000EF010000}"/>
    <cellStyle name="Normal 5 2 2" xfId="231" xr:uid="{00000000-0005-0000-0000-0000F0010000}"/>
    <cellStyle name="Normal 5 2 2 2" xfId="482" xr:uid="{00000000-0005-0000-0000-0000F1010000}"/>
    <cellStyle name="Normal 5 2 3" xfId="481" xr:uid="{00000000-0005-0000-0000-0000F2010000}"/>
    <cellStyle name="Normal 5 3" xfId="232" xr:uid="{00000000-0005-0000-0000-0000F3010000}"/>
    <cellStyle name="Normal 5 3 2" xfId="483" xr:uid="{00000000-0005-0000-0000-0000F4010000}"/>
    <cellStyle name="Normal 5 4" xfId="233" xr:uid="{00000000-0005-0000-0000-0000F5010000}"/>
    <cellStyle name="Normal 5 4 2" xfId="484" xr:uid="{00000000-0005-0000-0000-0000F6010000}"/>
    <cellStyle name="Normal 5 5" xfId="348" xr:uid="{00000000-0005-0000-0000-0000F7010000}"/>
    <cellStyle name="Normal 6" xfId="234" xr:uid="{00000000-0005-0000-0000-0000F8010000}"/>
    <cellStyle name="Normal 6 2" xfId="235" xr:uid="{00000000-0005-0000-0000-0000F9010000}"/>
    <cellStyle name="Normal 6 2 2" xfId="236" xr:uid="{00000000-0005-0000-0000-0000FA010000}"/>
    <cellStyle name="Normal 6 2 2 2" xfId="487" xr:uid="{00000000-0005-0000-0000-0000FB010000}"/>
    <cellStyle name="Normal 6 2 3" xfId="237" xr:uid="{00000000-0005-0000-0000-0000FC010000}"/>
    <cellStyle name="Normal 6 2 3 2" xfId="488" xr:uid="{00000000-0005-0000-0000-0000FD010000}"/>
    <cellStyle name="Normal 6 2 4" xfId="486" xr:uid="{00000000-0005-0000-0000-0000FE010000}"/>
    <cellStyle name="Normal 6 3" xfId="238" xr:uid="{00000000-0005-0000-0000-0000FF010000}"/>
    <cellStyle name="Normal 6 3 2" xfId="239" xr:uid="{00000000-0005-0000-0000-000000020000}"/>
    <cellStyle name="Normal 6 3 2 2" xfId="490" xr:uid="{00000000-0005-0000-0000-000001020000}"/>
    <cellStyle name="Normal 6 3 3" xfId="489" xr:uid="{00000000-0005-0000-0000-000002020000}"/>
    <cellStyle name="Normal 6 4" xfId="240" xr:uid="{00000000-0005-0000-0000-000003020000}"/>
    <cellStyle name="Normal 6 4 2" xfId="241" xr:uid="{00000000-0005-0000-0000-000004020000}"/>
    <cellStyle name="Normal 6 4 2 2" xfId="492" xr:uid="{00000000-0005-0000-0000-000005020000}"/>
    <cellStyle name="Normal 6 4 3" xfId="491" xr:uid="{00000000-0005-0000-0000-000006020000}"/>
    <cellStyle name="Normal 6 5" xfId="574" xr:uid="{00000000-0005-0000-0000-000007020000}"/>
    <cellStyle name="Normal 6 5 2" xfId="715" xr:uid="{00000000-0005-0000-0000-000008020000}"/>
    <cellStyle name="Normal 6 5 3" xfId="631" xr:uid="{00000000-0005-0000-0000-000009020000}"/>
    <cellStyle name="Normal 6 6" xfId="485" xr:uid="{00000000-0005-0000-0000-00000A020000}"/>
    <cellStyle name="Normal 6 6 2" xfId="670" xr:uid="{00000000-0005-0000-0000-00000B020000}"/>
    <cellStyle name="Normal 6 7" xfId="696" xr:uid="{00000000-0005-0000-0000-00000C020000}"/>
    <cellStyle name="Normal 6 8" xfId="603" xr:uid="{00000000-0005-0000-0000-00000D020000}"/>
    <cellStyle name="Normal 7" xfId="242" xr:uid="{00000000-0005-0000-0000-00000E020000}"/>
    <cellStyle name="Normal 7 2" xfId="243" xr:uid="{00000000-0005-0000-0000-00000F020000}"/>
    <cellStyle name="Normal 7 2 2" xfId="494" xr:uid="{00000000-0005-0000-0000-000010020000}"/>
    <cellStyle name="Normal 7 3" xfId="576" xr:uid="{00000000-0005-0000-0000-000011020000}"/>
    <cellStyle name="Normal 7 3 2" xfId="716" xr:uid="{00000000-0005-0000-0000-000012020000}"/>
    <cellStyle name="Normal 7 3 3" xfId="633" xr:uid="{00000000-0005-0000-0000-000013020000}"/>
    <cellStyle name="Normal 7 4" xfId="493" xr:uid="{00000000-0005-0000-0000-000014020000}"/>
    <cellStyle name="Normal 7 4 2" xfId="671" xr:uid="{00000000-0005-0000-0000-000015020000}"/>
    <cellStyle name="Normal 7 5" xfId="697" xr:uid="{00000000-0005-0000-0000-000016020000}"/>
    <cellStyle name="Normal 7 6" xfId="604" xr:uid="{00000000-0005-0000-0000-000017020000}"/>
    <cellStyle name="Normal 8" xfId="244" xr:uid="{00000000-0005-0000-0000-000018020000}"/>
    <cellStyle name="Normal 8 2" xfId="245" xr:uid="{00000000-0005-0000-0000-000019020000}"/>
    <cellStyle name="Normal 8 2 2" xfId="496" xr:uid="{00000000-0005-0000-0000-00001A020000}"/>
    <cellStyle name="Normal 8 3" xfId="578" xr:uid="{00000000-0005-0000-0000-00001B020000}"/>
    <cellStyle name="Normal 8 3 2" xfId="717" xr:uid="{00000000-0005-0000-0000-00001C020000}"/>
    <cellStyle name="Normal 8 3 3" xfId="635" xr:uid="{00000000-0005-0000-0000-00001D020000}"/>
    <cellStyle name="Normal 8 4" xfId="495" xr:uid="{00000000-0005-0000-0000-00001E020000}"/>
    <cellStyle name="Normal 8 4 2" xfId="672" xr:uid="{00000000-0005-0000-0000-00001F020000}"/>
    <cellStyle name="Normal 8 5" xfId="698" xr:uid="{00000000-0005-0000-0000-000020020000}"/>
    <cellStyle name="Normal 8 6" xfId="605" xr:uid="{00000000-0005-0000-0000-000021020000}"/>
    <cellStyle name="Normal 9" xfId="246" xr:uid="{00000000-0005-0000-0000-000022020000}"/>
    <cellStyle name="Normal 9 2" xfId="247" xr:uid="{00000000-0005-0000-0000-000023020000}"/>
    <cellStyle name="Normal 9 2 2" xfId="498" xr:uid="{00000000-0005-0000-0000-000024020000}"/>
    <cellStyle name="Normal 9 3" xfId="579" xr:uid="{00000000-0005-0000-0000-000025020000}"/>
    <cellStyle name="Normal 9 3 2" xfId="718" xr:uid="{00000000-0005-0000-0000-000026020000}"/>
    <cellStyle name="Normal 9 3 3" xfId="636" xr:uid="{00000000-0005-0000-0000-000027020000}"/>
    <cellStyle name="Normal 9 4" xfId="497" xr:uid="{00000000-0005-0000-0000-000028020000}"/>
    <cellStyle name="Normal 9 4 2" xfId="673" xr:uid="{00000000-0005-0000-0000-000029020000}"/>
    <cellStyle name="Normal 9 5" xfId="699" xr:uid="{00000000-0005-0000-0000-00002A020000}"/>
    <cellStyle name="Normal 9 6" xfId="606" xr:uid="{00000000-0005-0000-0000-00002B020000}"/>
    <cellStyle name="Normal_21 Exh B" xfId="248" xr:uid="{00000000-0005-0000-0000-00002C020000}"/>
    <cellStyle name="Normal_ADITAnalysisID090805" xfId="249" xr:uid="{00000000-0005-0000-0000-00002D020000}"/>
    <cellStyle name="Normal_ADITAnalysisID090805 2" xfId="250" xr:uid="{00000000-0005-0000-0000-00002E020000}"/>
    <cellStyle name="Normal_ADITAnalysisID090805 2 2" xfId="251" xr:uid="{00000000-0005-0000-0000-00002F020000}"/>
    <cellStyle name="Normal_ADITAnalysisID090805 2 2 2" xfId="252" xr:uid="{00000000-0005-0000-0000-000030020000}"/>
    <cellStyle name="Normal_ADITAnalysisID090805 3" xfId="253" xr:uid="{00000000-0005-0000-0000-000031020000}"/>
    <cellStyle name="Normal_ADITAnalysisID090805 4 2 2" xfId="499" xr:uid="{00000000-0005-0000-0000-000032020000}"/>
    <cellStyle name="Normal_ATC Projected 2008 Monthly Plant Balances for Attachment O 2 (2)" xfId="254" xr:uid="{00000000-0005-0000-0000-000033020000}"/>
    <cellStyle name="Normal_AU Period 2 Rev 4-27-00" xfId="255" xr:uid="{00000000-0005-0000-0000-000034020000}"/>
    <cellStyle name="Normal_DeprRateAuth East Dave Davis" xfId="256" xr:uid="{00000000-0005-0000-0000-000035020000}"/>
    <cellStyle name="Normal_DeprRateAuth East Dave Davis 2 2" xfId="728" xr:uid="{00000000-0005-0000-0000-000036020000}"/>
    <cellStyle name="Normal_FN1 Ratebase Draft SPP template (6-11-04) v2" xfId="257" xr:uid="{00000000-0005-0000-0000-000037020000}"/>
    <cellStyle name="Normal_I&amp;M-AK-1" xfId="258" xr:uid="{00000000-0005-0000-0000-000038020000}"/>
    <cellStyle name="Normal_Revised 1-21-10  Deprec Summary" xfId="259" xr:uid="{00000000-0005-0000-0000-000039020000}"/>
    <cellStyle name="Normal_Schedule O Info for Mike" xfId="260" xr:uid="{00000000-0005-0000-0000-00003A020000}"/>
    <cellStyle name="Normal_spp calc - revsd rev crd" xfId="261" xr:uid="{00000000-0005-0000-0000-00003B020000}"/>
    <cellStyle name="Note" xfId="262" builtinId="10" customBuiltin="1"/>
    <cellStyle name="Note 2" xfId="263" xr:uid="{00000000-0005-0000-0000-00003D020000}"/>
    <cellStyle name="Note 2 2" xfId="581" xr:uid="{00000000-0005-0000-0000-00003E020000}"/>
    <cellStyle name="Note 2 2 2" xfId="638" xr:uid="{00000000-0005-0000-0000-00003F020000}"/>
    <cellStyle name="Note 2 3" xfId="542" xr:uid="{00000000-0005-0000-0000-000040020000}"/>
    <cellStyle name="Note 2 3 2" xfId="616" xr:uid="{00000000-0005-0000-0000-000041020000}"/>
    <cellStyle name="Note 2 4" xfId="582" xr:uid="{00000000-0005-0000-0000-000042020000}"/>
    <cellStyle name="Note 2 4 2" xfId="639" xr:uid="{00000000-0005-0000-0000-000043020000}"/>
    <cellStyle name="Note 2 5" xfId="501" xr:uid="{00000000-0005-0000-0000-000044020000}"/>
    <cellStyle name="Note 3" xfId="580" xr:uid="{00000000-0005-0000-0000-000045020000}"/>
    <cellStyle name="Note 3 2" xfId="637" xr:uid="{00000000-0005-0000-0000-000046020000}"/>
    <cellStyle name="Note 4" xfId="543" xr:uid="{00000000-0005-0000-0000-000047020000}"/>
    <cellStyle name="Note 4 2" xfId="617" xr:uid="{00000000-0005-0000-0000-000048020000}"/>
    <cellStyle name="Note 5" xfId="593" xr:uid="{00000000-0005-0000-0000-000049020000}"/>
    <cellStyle name="Note 5 2" xfId="646" xr:uid="{00000000-0005-0000-0000-00004A020000}"/>
    <cellStyle name="Note 6" xfId="500" xr:uid="{00000000-0005-0000-0000-00004B020000}"/>
    <cellStyle name="Output" xfId="264" builtinId="21" customBuiltin="1"/>
    <cellStyle name="Output 2" xfId="265" xr:uid="{00000000-0005-0000-0000-00004D020000}"/>
    <cellStyle name="Output 2 2" xfId="540" xr:uid="{00000000-0005-0000-0000-00004E020000}"/>
    <cellStyle name="Output 2 2 2" xfId="614" xr:uid="{00000000-0005-0000-0000-00004F020000}"/>
    <cellStyle name="Output 2 3" xfId="584" xr:uid="{00000000-0005-0000-0000-000050020000}"/>
    <cellStyle name="Output 2 3 2" xfId="641" xr:uid="{00000000-0005-0000-0000-000051020000}"/>
    <cellStyle name="Output 3" xfId="541" xr:uid="{00000000-0005-0000-0000-000052020000}"/>
    <cellStyle name="Output 3 2" xfId="615" xr:uid="{00000000-0005-0000-0000-000053020000}"/>
    <cellStyle name="Output 4" xfId="583" xr:uid="{00000000-0005-0000-0000-000054020000}"/>
    <cellStyle name="Output 4 2" xfId="640" xr:uid="{00000000-0005-0000-0000-000055020000}"/>
    <cellStyle name="Percent" xfId="266" builtinId="5"/>
    <cellStyle name="Percent 10" xfId="536" xr:uid="{00000000-0005-0000-0000-000057020000}"/>
    <cellStyle name="Percent 10 2" xfId="674" xr:uid="{00000000-0005-0000-0000-000058020000}"/>
    <cellStyle name="Percent 10 3" xfId="733" xr:uid="{00000000-0005-0000-0000-000059020000}"/>
    <cellStyle name="Percent 11" xfId="683" xr:uid="{00000000-0005-0000-0000-00005A020000}"/>
    <cellStyle name="Percent 2" xfId="267" xr:uid="{00000000-0005-0000-0000-00005B020000}"/>
    <cellStyle name="Percent 2 2" xfId="268" xr:uid="{00000000-0005-0000-0000-00005C020000}"/>
    <cellStyle name="Percent 2 2 2" xfId="340" xr:uid="{00000000-0005-0000-0000-00005D020000}"/>
    <cellStyle name="Percent 2 2 2 2" xfId="719" xr:uid="{00000000-0005-0000-0000-00005E020000}"/>
    <cellStyle name="Percent 2 2 3" xfId="676" xr:uid="{00000000-0005-0000-0000-00005F020000}"/>
    <cellStyle name="Percent 2 3" xfId="675" xr:uid="{00000000-0005-0000-0000-000060020000}"/>
    <cellStyle name="Percent 3" xfId="269" xr:uid="{00000000-0005-0000-0000-000061020000}"/>
    <cellStyle name="Percent 3 2" xfId="270" xr:uid="{00000000-0005-0000-0000-000062020000}"/>
    <cellStyle name="Percent 3 2 2" xfId="502" xr:uid="{00000000-0005-0000-0000-000063020000}"/>
    <cellStyle name="Percent 3 3" xfId="271" xr:uid="{00000000-0005-0000-0000-000064020000}"/>
    <cellStyle name="Percent 3 3 2" xfId="272" xr:uid="{00000000-0005-0000-0000-000065020000}"/>
    <cellStyle name="Percent 3 3 2 2" xfId="504" xr:uid="{00000000-0005-0000-0000-000066020000}"/>
    <cellStyle name="Percent 3 3 3" xfId="273" xr:uid="{00000000-0005-0000-0000-000067020000}"/>
    <cellStyle name="Percent 3 3 3 2" xfId="505" xr:uid="{00000000-0005-0000-0000-000068020000}"/>
    <cellStyle name="Percent 3 3 4" xfId="503" xr:uid="{00000000-0005-0000-0000-000069020000}"/>
    <cellStyle name="Percent 3 4" xfId="274" xr:uid="{00000000-0005-0000-0000-00006A020000}"/>
    <cellStyle name="Percent 3 4 2" xfId="275" xr:uid="{00000000-0005-0000-0000-00006B020000}"/>
    <cellStyle name="Percent 3 4 2 2" xfId="507" xr:uid="{00000000-0005-0000-0000-00006C020000}"/>
    <cellStyle name="Percent 3 4 3" xfId="276" xr:uid="{00000000-0005-0000-0000-00006D020000}"/>
    <cellStyle name="Percent 3 4 3 2" xfId="508" xr:uid="{00000000-0005-0000-0000-00006E020000}"/>
    <cellStyle name="Percent 3 4 4" xfId="506" xr:uid="{00000000-0005-0000-0000-00006F020000}"/>
    <cellStyle name="Percent 3 5" xfId="277" xr:uid="{00000000-0005-0000-0000-000070020000}"/>
    <cellStyle name="Percent 3 5 2" xfId="509" xr:uid="{00000000-0005-0000-0000-000071020000}"/>
    <cellStyle name="Percent 3 6" xfId="278" xr:uid="{00000000-0005-0000-0000-000072020000}"/>
    <cellStyle name="Percent 3 6 2" xfId="279" xr:uid="{00000000-0005-0000-0000-000073020000}"/>
    <cellStyle name="Percent 3 6 2 2" xfId="511" xr:uid="{00000000-0005-0000-0000-000074020000}"/>
    <cellStyle name="Percent 3 6 3" xfId="510" xr:uid="{00000000-0005-0000-0000-000075020000}"/>
    <cellStyle name="Percent 3 7" xfId="280" xr:uid="{00000000-0005-0000-0000-000076020000}"/>
    <cellStyle name="Percent 3 7 2" xfId="587" xr:uid="{00000000-0005-0000-0000-000077020000}"/>
    <cellStyle name="Percent 3 7 2 2" xfId="720" xr:uid="{00000000-0005-0000-0000-000078020000}"/>
    <cellStyle name="Percent 3 7 3" xfId="512" xr:uid="{00000000-0005-0000-0000-000079020000}"/>
    <cellStyle name="Percent 3 8" xfId="513" xr:uid="{00000000-0005-0000-0000-00007A020000}"/>
    <cellStyle name="Percent 3 8 2" xfId="588" xr:uid="{00000000-0005-0000-0000-00007B020000}"/>
    <cellStyle name="Percent 3 8 3" xfId="677" xr:uid="{00000000-0005-0000-0000-00007C020000}"/>
    <cellStyle name="Percent 3 9" xfId="678" xr:uid="{00000000-0005-0000-0000-00007D020000}"/>
    <cellStyle name="Percent 4" xfId="281" xr:uid="{00000000-0005-0000-0000-00007E020000}"/>
    <cellStyle name="Percent 4 2" xfId="282" xr:uid="{00000000-0005-0000-0000-00007F020000}"/>
    <cellStyle name="Percent 4 2 2" xfId="515" xr:uid="{00000000-0005-0000-0000-000080020000}"/>
    <cellStyle name="Percent 4 3" xfId="283" xr:uid="{00000000-0005-0000-0000-000081020000}"/>
    <cellStyle name="Percent 4 3 2" xfId="516" xr:uid="{00000000-0005-0000-0000-000082020000}"/>
    <cellStyle name="Percent 4 4" xfId="589" xr:uid="{00000000-0005-0000-0000-000083020000}"/>
    <cellStyle name="Percent 4 4 2" xfId="721" xr:uid="{00000000-0005-0000-0000-000084020000}"/>
    <cellStyle name="Percent 4 4 3" xfId="643" xr:uid="{00000000-0005-0000-0000-000085020000}"/>
    <cellStyle name="Percent 4 5" xfId="514" xr:uid="{00000000-0005-0000-0000-000086020000}"/>
    <cellStyle name="Percent 4 5 2" xfId="679" xr:uid="{00000000-0005-0000-0000-000087020000}"/>
    <cellStyle name="Percent 4 6" xfId="700" xr:uid="{00000000-0005-0000-0000-000088020000}"/>
    <cellStyle name="Percent 4 7" xfId="607" xr:uid="{00000000-0005-0000-0000-000089020000}"/>
    <cellStyle name="Percent 5" xfId="284" xr:uid="{00000000-0005-0000-0000-00008A020000}"/>
    <cellStyle name="Percent 5 2" xfId="285" xr:uid="{00000000-0005-0000-0000-00008B020000}"/>
    <cellStyle name="Percent 5 2 2" xfId="518" xr:uid="{00000000-0005-0000-0000-00008C020000}"/>
    <cellStyle name="Percent 5 3" xfId="517" xr:uid="{00000000-0005-0000-0000-00008D020000}"/>
    <cellStyle name="Percent 6" xfId="286" xr:uid="{00000000-0005-0000-0000-00008E020000}"/>
    <cellStyle name="Percent 6 2" xfId="590" xr:uid="{00000000-0005-0000-0000-00008F020000}"/>
    <cellStyle name="Percent 6 2 2" xfId="722" xr:uid="{00000000-0005-0000-0000-000090020000}"/>
    <cellStyle name="Percent 6 2 3" xfId="644" xr:uid="{00000000-0005-0000-0000-000091020000}"/>
    <cellStyle name="Percent 6 3" xfId="519" xr:uid="{00000000-0005-0000-0000-000092020000}"/>
    <cellStyle name="Percent 6 3 2" xfId="680" xr:uid="{00000000-0005-0000-0000-000093020000}"/>
    <cellStyle name="Percent 6 4" xfId="701" xr:uid="{00000000-0005-0000-0000-000094020000}"/>
    <cellStyle name="Percent 6 5" xfId="608" xr:uid="{00000000-0005-0000-0000-000095020000}"/>
    <cellStyle name="Percent 7" xfId="287" xr:uid="{00000000-0005-0000-0000-000096020000}"/>
    <cellStyle name="Percent 7 2" xfId="288" xr:uid="{00000000-0005-0000-0000-000097020000}"/>
    <cellStyle name="Percent 7 2 2" xfId="521" xr:uid="{00000000-0005-0000-0000-000098020000}"/>
    <cellStyle name="Percent 7 3" xfId="289" xr:uid="{00000000-0005-0000-0000-000099020000}"/>
    <cellStyle name="Percent 7 3 2" xfId="522" xr:uid="{00000000-0005-0000-0000-00009A020000}"/>
    <cellStyle name="Percent 7 4" xfId="520" xr:uid="{00000000-0005-0000-0000-00009B020000}"/>
    <cellStyle name="Percent 7 5" xfId="681" xr:uid="{00000000-0005-0000-0000-00009C020000}"/>
    <cellStyle name="Percent 8" xfId="290" xr:uid="{00000000-0005-0000-0000-00009D020000}"/>
    <cellStyle name="Percent 8 2" xfId="591" xr:uid="{00000000-0005-0000-0000-00009E020000}"/>
    <cellStyle name="Percent 8 2 2" xfId="723" xr:uid="{00000000-0005-0000-0000-00009F020000}"/>
    <cellStyle name="Percent 8 3" xfId="523" xr:uid="{00000000-0005-0000-0000-0000A0020000}"/>
    <cellStyle name="Percent 9" xfId="339" xr:uid="{00000000-0005-0000-0000-0000A1020000}"/>
    <cellStyle name="Percent 9 2" xfId="592" xr:uid="{00000000-0005-0000-0000-0000A2020000}"/>
    <cellStyle name="Percent 9 3" xfId="524" xr:uid="{00000000-0005-0000-0000-0000A3020000}"/>
    <cellStyle name="PSChar" xfId="291" xr:uid="{00000000-0005-0000-0000-0000A4020000}"/>
    <cellStyle name="PSDate" xfId="292" xr:uid="{00000000-0005-0000-0000-0000A5020000}"/>
    <cellStyle name="PSDec" xfId="293" xr:uid="{00000000-0005-0000-0000-0000A6020000}"/>
    <cellStyle name="PSdesc" xfId="294" xr:uid="{00000000-0005-0000-0000-0000A7020000}"/>
    <cellStyle name="PSdesc 2" xfId="525" xr:uid="{00000000-0005-0000-0000-0000A8020000}"/>
    <cellStyle name="PSHeading" xfId="295" xr:uid="{00000000-0005-0000-0000-0000A9020000}"/>
    <cellStyle name="PSInt" xfId="296" xr:uid="{00000000-0005-0000-0000-0000AA020000}"/>
    <cellStyle name="PSSpacer" xfId="297" xr:uid="{00000000-0005-0000-0000-0000AB020000}"/>
    <cellStyle name="PStest" xfId="298" xr:uid="{00000000-0005-0000-0000-0000AC020000}"/>
    <cellStyle name="PStest 2" xfId="526" xr:uid="{00000000-0005-0000-0000-0000AD020000}"/>
    <cellStyle name="R00A" xfId="299" xr:uid="{00000000-0005-0000-0000-0000AE020000}"/>
    <cellStyle name="R00B" xfId="300" xr:uid="{00000000-0005-0000-0000-0000AF020000}"/>
    <cellStyle name="R00L" xfId="301" xr:uid="{00000000-0005-0000-0000-0000B0020000}"/>
    <cellStyle name="R01A" xfId="302" xr:uid="{00000000-0005-0000-0000-0000B1020000}"/>
    <cellStyle name="R01B" xfId="303" xr:uid="{00000000-0005-0000-0000-0000B2020000}"/>
    <cellStyle name="R01B 2" xfId="595" xr:uid="{00000000-0005-0000-0000-0000B3020000}"/>
    <cellStyle name="R01B 2 2" xfId="648" xr:uid="{00000000-0005-0000-0000-0000B4020000}"/>
    <cellStyle name="R01H" xfId="304" xr:uid="{00000000-0005-0000-0000-0000B5020000}"/>
    <cellStyle name="R01L" xfId="305" xr:uid="{00000000-0005-0000-0000-0000B6020000}"/>
    <cellStyle name="R02A" xfId="306" xr:uid="{00000000-0005-0000-0000-0000B7020000}"/>
    <cellStyle name="R02B" xfId="307" xr:uid="{00000000-0005-0000-0000-0000B8020000}"/>
    <cellStyle name="R02B 2" xfId="527" xr:uid="{00000000-0005-0000-0000-0000B9020000}"/>
    <cellStyle name="R02H" xfId="308" xr:uid="{00000000-0005-0000-0000-0000BA020000}"/>
    <cellStyle name="R02L" xfId="309" xr:uid="{00000000-0005-0000-0000-0000BB020000}"/>
    <cellStyle name="R03A" xfId="310" xr:uid="{00000000-0005-0000-0000-0000BC020000}"/>
    <cellStyle name="R03B" xfId="311" xr:uid="{00000000-0005-0000-0000-0000BD020000}"/>
    <cellStyle name="R03B 2" xfId="528" xr:uid="{00000000-0005-0000-0000-0000BE020000}"/>
    <cellStyle name="R03H" xfId="312" xr:uid="{00000000-0005-0000-0000-0000BF020000}"/>
    <cellStyle name="R03L" xfId="313" xr:uid="{00000000-0005-0000-0000-0000C0020000}"/>
    <cellStyle name="R04A" xfId="314" xr:uid="{00000000-0005-0000-0000-0000C1020000}"/>
    <cellStyle name="R04B" xfId="315" xr:uid="{00000000-0005-0000-0000-0000C2020000}"/>
    <cellStyle name="R04B 2" xfId="529" xr:uid="{00000000-0005-0000-0000-0000C3020000}"/>
    <cellStyle name="R04H" xfId="316" xr:uid="{00000000-0005-0000-0000-0000C4020000}"/>
    <cellStyle name="R04L" xfId="317" xr:uid="{00000000-0005-0000-0000-0000C5020000}"/>
    <cellStyle name="R05A" xfId="318" xr:uid="{00000000-0005-0000-0000-0000C6020000}"/>
    <cellStyle name="R05B" xfId="319" xr:uid="{00000000-0005-0000-0000-0000C7020000}"/>
    <cellStyle name="R05B 2" xfId="530" xr:uid="{00000000-0005-0000-0000-0000C8020000}"/>
    <cellStyle name="R05H" xfId="320" xr:uid="{00000000-0005-0000-0000-0000C9020000}"/>
    <cellStyle name="R05L" xfId="321" xr:uid="{00000000-0005-0000-0000-0000CA020000}"/>
    <cellStyle name="R05L 2" xfId="531" xr:uid="{00000000-0005-0000-0000-0000CB020000}"/>
    <cellStyle name="R06A" xfId="322" xr:uid="{00000000-0005-0000-0000-0000CC020000}"/>
    <cellStyle name="R06B" xfId="323" xr:uid="{00000000-0005-0000-0000-0000CD020000}"/>
    <cellStyle name="R06B 2" xfId="532" xr:uid="{00000000-0005-0000-0000-0000CE020000}"/>
    <cellStyle name="R06H" xfId="324" xr:uid="{00000000-0005-0000-0000-0000CF020000}"/>
    <cellStyle name="R06L" xfId="325" xr:uid="{00000000-0005-0000-0000-0000D0020000}"/>
    <cellStyle name="R07A" xfId="326" xr:uid="{00000000-0005-0000-0000-0000D1020000}"/>
    <cellStyle name="R07B" xfId="327" xr:uid="{00000000-0005-0000-0000-0000D2020000}"/>
    <cellStyle name="R07B 2" xfId="533" xr:uid="{00000000-0005-0000-0000-0000D3020000}"/>
    <cellStyle name="R07H" xfId="328" xr:uid="{00000000-0005-0000-0000-0000D4020000}"/>
    <cellStyle name="R07L" xfId="329" xr:uid="{00000000-0005-0000-0000-0000D5020000}"/>
    <cellStyle name="Title" xfId="330" builtinId="15" customBuiltin="1"/>
    <cellStyle name="Title 2" xfId="331" xr:uid="{00000000-0005-0000-0000-0000D7020000}"/>
    <cellStyle name="Total" xfId="332" builtinId="25" customBuiltin="1"/>
    <cellStyle name="Total 2" xfId="333" xr:uid="{00000000-0005-0000-0000-0000D9020000}"/>
    <cellStyle name="Total 2 2" xfId="535" xr:uid="{00000000-0005-0000-0000-0000DA020000}"/>
    <cellStyle name="Total 3" xfId="534" xr:uid="{00000000-0005-0000-0000-0000DB020000}"/>
    <cellStyle name="Warning Text" xfId="334" builtinId="11" customBuiltin="1"/>
    <cellStyle name="Warning Text 2" xfId="335" xr:uid="{00000000-0005-0000-0000-0000DD020000}"/>
  </cellStyles>
  <dxfs count="19">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393"/>
  <sheetViews>
    <sheetView tabSelected="1" view="pageBreakPreview" topLeftCell="B1" zoomScale="70" zoomScaleNormal="85" zoomScaleSheetLayoutView="70" zoomScalePageLayoutView="50" workbookViewId="0">
      <selection activeCell="D9" sqref="D9"/>
    </sheetView>
  </sheetViews>
  <sheetFormatPr defaultColWidth="11.42578125" defaultRowHeight="15"/>
  <cols>
    <col min="1" max="1" width="4.5703125" style="265" customWidth="1"/>
    <col min="2" max="2" width="7.85546875" style="264" customWidth="1"/>
    <col min="3" max="3" width="1.85546875" style="265" customWidth="1"/>
    <col min="4" max="4" width="70.140625" style="265" customWidth="1"/>
    <col min="5" max="5" width="25.5703125" style="265" customWidth="1"/>
    <col min="6" max="6" width="22.42578125" style="265" customWidth="1"/>
    <col min="7" max="7" width="20.5703125" style="265" customWidth="1"/>
    <col min="8" max="8" width="16.140625" style="265" customWidth="1"/>
    <col min="9" max="9" width="14.140625" style="265" customWidth="1"/>
    <col min="10" max="10" width="21.5703125" style="265" bestFit="1" customWidth="1"/>
    <col min="11" max="11" width="4.5703125" style="265" customWidth="1"/>
    <col min="12" max="12" width="23" style="265" customWidth="1"/>
    <col min="13" max="13" width="5" style="265" customWidth="1"/>
    <col min="14" max="14" width="31.140625" style="265" customWidth="1"/>
    <col min="15" max="15" width="8.140625" style="265" customWidth="1"/>
    <col min="16" max="16" width="21.85546875" style="265" customWidth="1"/>
    <col min="17" max="17" width="11.42578125" style="265" customWidth="1"/>
    <col min="18" max="18" width="20.5703125" style="265" bestFit="1" customWidth="1"/>
    <col min="19" max="16384" width="11.42578125" style="265"/>
  </cols>
  <sheetData>
    <row r="1" spans="1:15" ht="15.75">
      <c r="A1" s="693" t="s">
        <v>116</v>
      </c>
    </row>
    <row r="2" spans="1:15" ht="15.75">
      <c r="A2" s="693" t="s">
        <v>116</v>
      </c>
    </row>
    <row r="3" spans="1:15" ht="15.75">
      <c r="D3"/>
      <c r="E3" s="266"/>
      <c r="F3" s="266"/>
      <c r="G3" s="267"/>
      <c r="I3" s="268"/>
      <c r="J3" s="268"/>
      <c r="K3" s="268"/>
    </row>
    <row r="4" spans="1:15">
      <c r="J4" s="265" t="s">
        <v>823</v>
      </c>
      <c r="L4" s="1049">
        <v>2025</v>
      </c>
    </row>
    <row r="5" spans="1:15">
      <c r="D5" s="269"/>
      <c r="E5" s="269"/>
      <c r="F5" s="30" t="s">
        <v>387</v>
      </c>
      <c r="G5" s="2"/>
      <c r="H5" s="2"/>
      <c r="J5" s="269"/>
      <c r="K5" s="269"/>
      <c r="L5" s="269"/>
      <c r="M5" s="270"/>
      <c r="O5" s="271"/>
    </row>
    <row r="6" spans="1:15">
      <c r="D6" s="269"/>
      <c r="E6" s="272"/>
      <c r="F6" s="30" t="s">
        <v>388</v>
      </c>
      <c r="G6" s="2"/>
      <c r="H6" s="2"/>
      <c r="J6" s="272"/>
      <c r="K6" s="269"/>
      <c r="L6" s="269"/>
      <c r="M6" s="270"/>
    </row>
    <row r="7" spans="1:15">
      <c r="D7" s="269"/>
      <c r="E7" s="269"/>
      <c r="F7" s="3" t="str">
        <f>"Utilizing  Actual/Projected FERC Form 1 Data"</f>
        <v>Utilizing  Actual/Projected FERC Form 1 Data</v>
      </c>
      <c r="G7" s="2"/>
      <c r="H7" s="2"/>
      <c r="J7" s="269"/>
      <c r="K7" s="269"/>
      <c r="L7" s="269"/>
      <c r="M7" s="270"/>
    </row>
    <row r="8" spans="1:15">
      <c r="B8" s="273"/>
      <c r="C8" s="274"/>
      <c r="D8" s="269"/>
      <c r="H8" s="275"/>
      <c r="I8" s="275"/>
      <c r="J8" s="275"/>
      <c r="K8" s="275"/>
      <c r="L8" s="269"/>
      <c r="M8" s="269"/>
    </row>
    <row r="9" spans="1:15" ht="15.75">
      <c r="B9" s="273"/>
      <c r="C9" s="274"/>
      <c r="D9"/>
      <c r="E9" s="269"/>
      <c r="F9" s="276" t="s">
        <v>890</v>
      </c>
      <c r="G9" s="277"/>
      <c r="H9" s="269"/>
      <c r="I9" s="269"/>
      <c r="J9" s="269"/>
      <c r="K9" s="269"/>
      <c r="L9"/>
      <c r="M9" s="269"/>
    </row>
    <row r="10" spans="1:15">
      <c r="B10" s="273"/>
      <c r="C10" s="274"/>
      <c r="D10" s="269"/>
      <c r="E10" s="269"/>
      <c r="F10" s="278"/>
      <c r="G10" s="277"/>
      <c r="H10" s="269"/>
      <c r="I10" s="269"/>
      <c r="J10" s="269"/>
      <c r="K10" s="269"/>
      <c r="L10"/>
      <c r="M10" s="269"/>
    </row>
    <row r="11" spans="1:15">
      <c r="B11" s="273" t="s">
        <v>171</v>
      </c>
      <c r="C11" s="274"/>
      <c r="D11" s="269"/>
      <c r="E11" s="269"/>
      <c r="F11" s="269"/>
      <c r="G11" s="277"/>
      <c r="H11" s="269"/>
      <c r="I11" s="269"/>
      <c r="J11" s="269"/>
      <c r="K11" s="269"/>
      <c r="L11" s="274" t="s">
        <v>117</v>
      </c>
      <c r="M11" s="269"/>
    </row>
    <row r="12" spans="1:15" ht="15.75" thickBot="1">
      <c r="B12" s="279" t="s">
        <v>119</v>
      </c>
      <c r="C12" s="274"/>
      <c r="D12" s="269"/>
      <c r="E12" s="274"/>
      <c r="F12" s="269"/>
      <c r="G12" s="269"/>
      <c r="H12" s="269"/>
      <c r="I12" s="269"/>
      <c r="J12" s="269"/>
      <c r="K12" s="269"/>
      <c r="L12" s="280" t="s">
        <v>172</v>
      </c>
      <c r="M12" s="269"/>
    </row>
    <row r="13" spans="1:15">
      <c r="B13" s="273">
        <f>1</f>
        <v>1</v>
      </c>
      <c r="C13" s="274"/>
      <c r="D13" s="2" t="s">
        <v>113</v>
      </c>
      <c r="E13" s="269" t="str">
        <f>"(ln "&amp;B221&amp;")"</f>
        <v>(ln 130)</v>
      </c>
      <c r="F13" s="269"/>
      <c r="G13" s="272"/>
      <c r="H13" s="281"/>
      <c r="I13" s="269"/>
      <c r="J13" s="269"/>
      <c r="K13" s="269"/>
      <c r="L13" s="282">
        <f>+L221</f>
        <v>102311133.91517593</v>
      </c>
      <c r="M13" s="269"/>
    </row>
    <row r="14" spans="1:15" ht="15.75" thickBot="1">
      <c r="B14" s="273"/>
      <c r="C14" s="274"/>
      <c r="E14" s="283"/>
      <c r="F14" s="272"/>
      <c r="G14" s="280" t="s">
        <v>120</v>
      </c>
      <c r="H14" s="272"/>
      <c r="I14" s="284" t="s">
        <v>121</v>
      </c>
      <c r="J14" s="284"/>
      <c r="K14" s="269"/>
      <c r="L14" s="272"/>
      <c r="M14" s="269"/>
    </row>
    <row r="15" spans="1:15">
      <c r="B15" s="273">
        <f>+B13+1</f>
        <v>2</v>
      </c>
      <c r="C15" s="274"/>
      <c r="D15" s="2" t="s">
        <v>170</v>
      </c>
      <c r="E15" s="283" t="s">
        <v>619</v>
      </c>
      <c r="F15" s="272"/>
      <c r="G15" s="285">
        <f>+'WS E Rev Credits'!K31</f>
        <v>955804.83000000007</v>
      </c>
      <c r="H15" s="272"/>
      <c r="I15" s="286" t="s">
        <v>131</v>
      </c>
      <c r="J15" s="287">
        <v>1</v>
      </c>
      <c r="K15" s="272"/>
      <c r="L15" s="288">
        <f>+J15*G15</f>
        <v>955804.83000000007</v>
      </c>
      <c r="M15" s="269"/>
    </row>
    <row r="16" spans="1:15">
      <c r="B16" s="273"/>
      <c r="C16" s="274"/>
      <c r="D16" s="2"/>
      <c r="F16" s="272"/>
      <c r="L16" s="289"/>
      <c r="M16" s="269"/>
    </row>
    <row r="17" spans="2:13">
      <c r="B17" s="273"/>
      <c r="C17" s="274"/>
      <c r="D17" s="2"/>
      <c r="F17" s="272"/>
      <c r="M17" s="269"/>
    </row>
    <row r="18" spans="2:13">
      <c r="B18" s="273">
        <f>+B15+1</f>
        <v>3</v>
      </c>
      <c r="C18" s="274"/>
      <c r="D18" s="2" t="s">
        <v>536</v>
      </c>
      <c r="E18" s="265" t="s">
        <v>620</v>
      </c>
      <c r="F18" s="272"/>
      <c r="L18" s="288">
        <f>'WS E Rev Credits'!K39</f>
        <v>0</v>
      </c>
      <c r="M18" s="269"/>
    </row>
    <row r="19" spans="2:13">
      <c r="B19" s="273"/>
      <c r="C19" s="274"/>
      <c r="D19" s="2"/>
      <c r="F19" s="272"/>
      <c r="M19" s="269"/>
    </row>
    <row r="20" spans="2:13" ht="15.75" thickBot="1">
      <c r="B20" s="273">
        <f>+B18+1</f>
        <v>4</v>
      </c>
      <c r="C20" s="274"/>
      <c r="D20" s="290" t="s">
        <v>466</v>
      </c>
      <c r="E20" s="283" t="str">
        <f>"(ln "&amp;B13&amp;" less  ln " &amp;B15&amp;" plus ln "&amp;B18&amp;")"</f>
        <v>(ln 1 less  ln 2 plus ln 3)</v>
      </c>
      <c r="F20" s="269"/>
      <c r="H20" s="272"/>
      <c r="I20" s="286"/>
      <c r="J20" s="272"/>
      <c r="K20" s="272"/>
      <c r="L20" s="291">
        <f>+L13-L15+L18</f>
        <v>101355329.08517593</v>
      </c>
      <c r="M20" s="269"/>
    </row>
    <row r="21" spans="2:13" ht="15.75" thickTop="1">
      <c r="B21" s="273"/>
      <c r="C21" s="274"/>
      <c r="D21" s="290"/>
      <c r="E21" s="283"/>
      <c r="F21" s="269"/>
      <c r="H21" s="272"/>
      <c r="I21" s="286"/>
      <c r="J21" s="272"/>
      <c r="K21" s="272"/>
      <c r="L21" s="288"/>
      <c r="M21" s="269"/>
    </row>
    <row r="22" spans="2:13">
      <c r="B22" s="273"/>
      <c r="C22" s="274"/>
      <c r="D22" s="290"/>
      <c r="E22" s="283"/>
      <c r="F22" s="269"/>
      <c r="H22" s="272"/>
      <c r="I22" s="286"/>
      <c r="J22" s="272"/>
      <c r="K22" s="272"/>
      <c r="L22" s="288"/>
      <c r="M22" s="269"/>
    </row>
    <row r="23" spans="2:13">
      <c r="B23" s="273"/>
      <c r="C23" s="274"/>
      <c r="D23" s="2"/>
      <c r="E23" s="283"/>
      <c r="F23" s="269"/>
      <c r="H23" s="272"/>
      <c r="I23" s="286"/>
      <c r="J23" s="272"/>
      <c r="K23" s="272"/>
      <c r="L23" s="288"/>
      <c r="M23" s="269"/>
    </row>
    <row r="24" spans="2:13" ht="15" customHeight="1">
      <c r="B24" s="1184" t="str">
        <f>"MEMO:  The Carrying Charge Calculations on lines "&amp;B30&amp;" to "&amp;B37&amp;" below are used in calculating project revenue requirements billed through PJM Schedule 12, Transmission Enhancement Charges.  The total non-incentive revenue requirements for these projects shown on line "&amp;B27&amp;" is included in the total on line "&amp;B20&amp;"."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4" s="1184"/>
      <c r="D24" s="1184"/>
      <c r="E24" s="1184"/>
      <c r="F24" s="1184"/>
      <c r="G24" s="1184"/>
      <c r="H24" s="1184"/>
      <c r="I24" s="1184"/>
    </row>
    <row r="25" spans="2:13" ht="35.25" customHeight="1">
      <c r="B25" s="1184"/>
      <c r="C25" s="1184"/>
      <c r="D25" s="1184"/>
      <c r="E25" s="1184"/>
      <c r="F25" s="1184"/>
      <c r="G25" s="1184"/>
      <c r="H25" s="1184"/>
      <c r="I25" s="1184"/>
    </row>
    <row r="26" spans="2:13" ht="15" customHeight="1">
      <c r="B26" s="292"/>
      <c r="C26" s="292"/>
      <c r="D26" s="292"/>
      <c r="E26" s="292"/>
      <c r="F26" s="292"/>
      <c r="G26" s="292"/>
      <c r="H26" s="292"/>
      <c r="I26" s="292"/>
    </row>
    <row r="27" spans="2:13">
      <c r="B27" s="273">
        <f>+B20+1</f>
        <v>5</v>
      </c>
      <c r="C27" s="274"/>
      <c r="D27" s="2" t="s">
        <v>537</v>
      </c>
      <c r="E27" s="283"/>
      <c r="F27" s="272"/>
      <c r="G27" s="285">
        <f>+'WS J PROJECTED RTEP RR'!M26</f>
        <v>0</v>
      </c>
      <c r="H27" s="272"/>
      <c r="I27" s="286" t="s">
        <v>131</v>
      </c>
      <c r="J27" s="287">
        <v>1</v>
      </c>
      <c r="K27" s="269"/>
      <c r="L27" s="288">
        <f>+J27*G27</f>
        <v>0</v>
      </c>
      <c r="M27" s="269"/>
    </row>
    <row r="28" spans="2:13">
      <c r="B28" s="273"/>
      <c r="C28" s="274"/>
      <c r="D28" s="2"/>
      <c r="E28" s="283"/>
      <c r="F28" s="272"/>
      <c r="G28" s="285"/>
      <c r="H28" s="272"/>
      <c r="I28" s="272"/>
      <c r="J28" s="287"/>
      <c r="K28" s="269"/>
      <c r="L28" s="288"/>
      <c r="M28" s="269"/>
    </row>
    <row r="29" spans="2:13">
      <c r="B29" s="273">
        <f>+B27+1</f>
        <v>6</v>
      </c>
      <c r="C29" s="274"/>
      <c r="D29" s="2" t="s">
        <v>375</v>
      </c>
      <c r="E29" s="283"/>
      <c r="F29" s="269"/>
      <c r="G29" s="293"/>
      <c r="H29" s="269"/>
      <c r="J29" s="269"/>
      <c r="K29" s="269"/>
      <c r="M29" s="269"/>
    </row>
    <row r="30" spans="2:13">
      <c r="B30" s="273">
        <f>B29+1</f>
        <v>7</v>
      </c>
      <c r="C30" s="274"/>
      <c r="D30" s="269" t="s">
        <v>252</v>
      </c>
      <c r="E30" s="269" t="str">
        <f>"( (ln "&amp;B13&amp;" - ln "&amp;B175&amp;")/((ln "&amp;$B$95&amp;") x 100) )"</f>
        <v>( (ln 1 - ln 95)/((ln 42) x 100) )</v>
      </c>
      <c r="F30" s="274"/>
      <c r="G30" s="274"/>
      <c r="H30" s="274"/>
      <c r="I30" s="294"/>
      <c r="J30" s="294"/>
      <c r="K30" s="294"/>
      <c r="L30" s="295">
        <f>(L13-L175)/L$95</f>
        <v>0.15527587254433539</v>
      </c>
      <c r="M30" s="269"/>
    </row>
    <row r="31" spans="2:13">
      <c r="B31" s="273">
        <f>B30+1</f>
        <v>8</v>
      </c>
      <c r="C31" s="274"/>
      <c r="D31" s="269" t="s">
        <v>253</v>
      </c>
      <c r="E31" s="269" t="str">
        <f>"(ln "&amp;B30&amp;" / 12)"</f>
        <v>(ln 7 / 12)</v>
      </c>
      <c r="F31" s="274"/>
      <c r="G31" s="274"/>
      <c r="H31" s="274"/>
      <c r="I31" s="294"/>
      <c r="J31" s="294"/>
      <c r="K31" s="294"/>
      <c r="L31" s="295">
        <f>L30/12</f>
        <v>1.2939656045361283E-2</v>
      </c>
      <c r="M31" s="269"/>
    </row>
    <row r="32" spans="2:13">
      <c r="B32" s="273"/>
      <c r="C32" s="274"/>
      <c r="D32" s="269"/>
      <c r="E32" s="269"/>
      <c r="F32" s="274"/>
      <c r="G32" s="274"/>
      <c r="H32" s="274"/>
      <c r="I32" s="294"/>
      <c r="J32" s="294"/>
      <c r="K32" s="294"/>
      <c r="L32" s="295"/>
      <c r="M32" s="269"/>
    </row>
    <row r="33" spans="2:13">
      <c r="B33" s="273">
        <f>B31+1</f>
        <v>9</v>
      </c>
      <c r="C33" s="274"/>
      <c r="D33" s="2" t="str">
        <f>"NET PLANT CARRYING CHARGE ON LINE "&amp;B30&amp;" , w/o depreciation or ROE incentives (Note B)"</f>
        <v>NET PLANT CARRYING CHARGE ON LINE 7 , w/o depreciation or ROE incentives (Note B)</v>
      </c>
      <c r="E33" s="269"/>
      <c r="F33" s="274"/>
      <c r="G33" s="274"/>
      <c r="H33" s="274"/>
      <c r="I33" s="294"/>
      <c r="J33" s="294"/>
      <c r="K33" s="294"/>
      <c r="L33" s="295"/>
      <c r="M33" s="269"/>
    </row>
    <row r="34" spans="2:13">
      <c r="B34" s="273">
        <f>B33+1</f>
        <v>10</v>
      </c>
      <c r="C34" s="274"/>
      <c r="D34" s="269" t="s">
        <v>252</v>
      </c>
      <c r="E34" s="269" t="str">
        <f>"( (ln "&amp;B13&amp;" - ln "&amp;B175&amp;" - ln "&amp;B181&amp;" ) /((ln "&amp;$B$95&amp;") x 100) )"</f>
        <v>( (ln 1 - ln 95 - ln 100 ) /((ln 42) x 100) )</v>
      </c>
      <c r="F34" s="274"/>
      <c r="G34" s="274"/>
      <c r="H34" s="274"/>
      <c r="I34" s="294"/>
      <c r="J34" s="294"/>
      <c r="K34" s="294"/>
      <c r="L34" s="295">
        <f>(L13-L175-L181)/L95</f>
        <v>0.1146298035621662</v>
      </c>
      <c r="M34" s="269"/>
    </row>
    <row r="35" spans="2:13">
      <c r="B35" s="273"/>
      <c r="C35" s="274"/>
      <c r="D35" s="269"/>
      <c r="E35" s="269"/>
      <c r="F35" s="274"/>
      <c r="G35" s="274"/>
      <c r="H35" s="274"/>
      <c r="I35" s="294"/>
      <c r="J35" s="294"/>
      <c r="K35" s="294"/>
      <c r="L35" s="295"/>
      <c r="M35" s="269"/>
    </row>
    <row r="36" spans="2:13">
      <c r="B36" s="273">
        <f>B34+1</f>
        <v>11</v>
      </c>
      <c r="C36" s="274"/>
      <c r="D36" s="2" t="str">
        <f>"NET PLANT CARRYING CHARGE ON LINE "&amp;B34&amp;", w/o Return, income taxes or ROE incentives (Note B)"</f>
        <v>NET PLANT CARRYING CHARGE ON LINE 10, w/o Return, income taxes or ROE incentives (Note B)</v>
      </c>
      <c r="E36" s="269"/>
      <c r="F36" s="72"/>
      <c r="G36" s="72"/>
      <c r="H36" s="72"/>
      <c r="I36" s="72"/>
      <c r="J36" s="72"/>
      <c r="K36" s="72"/>
      <c r="L36" s="72"/>
      <c r="M36"/>
    </row>
    <row r="37" spans="2:13">
      <c r="B37" s="273">
        <f>B36+1</f>
        <v>12</v>
      </c>
      <c r="C37" s="274"/>
      <c r="D37" s="269" t="s">
        <v>252</v>
      </c>
      <c r="E37" s="269" t="str">
        <f>"( (ln "&amp;B13&amp;" - ln "&amp;B175&amp;" - ln "&amp;B181&amp;" - ln "&amp;B211&amp;" - ln "&amp;B213&amp;") /((ln "&amp;$B$95&amp;") x 100) )"</f>
        <v>( (ln 1 - ln 95 - ln 100 - ln 125 - ln 126) /((ln 42) x 100) )</v>
      </c>
      <c r="F37" s="72"/>
      <c r="G37" s="72"/>
      <c r="H37" s="72"/>
      <c r="I37" s="72"/>
      <c r="J37" s="72"/>
      <c r="K37" s="72"/>
      <c r="L37" s="296">
        <f>(L13-L175-L181-L211-L213)/L95</f>
        <v>3.0940992625504479E-2</v>
      </c>
      <c r="M37"/>
    </row>
    <row r="38" spans="2:13">
      <c r="B38" s="273"/>
      <c r="C38" s="274"/>
      <c r="D38" s="269"/>
      <c r="E38" s="269"/>
      <c r="F38" s="274"/>
      <c r="G38" s="274"/>
      <c r="H38" s="274"/>
      <c r="I38" s="294"/>
      <c r="J38" s="294"/>
      <c r="K38" s="294"/>
      <c r="L38" s="295"/>
      <c r="M38" s="297"/>
    </row>
    <row r="39" spans="2:13">
      <c r="B39" s="273">
        <f>B37+1</f>
        <v>13</v>
      </c>
      <c r="C39" s="274"/>
      <c r="D39" s="2" t="s">
        <v>592</v>
      </c>
      <c r="E39" s="269"/>
      <c r="F39" s="274"/>
      <c r="G39" s="274"/>
      <c r="H39" s="274"/>
      <c r="I39" s="294"/>
      <c r="J39" s="294"/>
      <c r="K39" s="294"/>
      <c r="L39" s="298">
        <f>'WS K TRUE-UP RTEP RR'!P23</f>
        <v>0</v>
      </c>
      <c r="M39" s="269"/>
    </row>
    <row r="40" spans="2:13">
      <c r="B40" s="273"/>
      <c r="C40" s="274"/>
      <c r="E40" s="269"/>
      <c r="F40" s="274"/>
      <c r="G40" s="274"/>
      <c r="H40" s="274"/>
      <c r="I40" s="294"/>
      <c r="J40" s="294"/>
      <c r="K40" s="294"/>
      <c r="L40" s="295"/>
      <c r="M40" s="269"/>
    </row>
    <row r="41" spans="2:13">
      <c r="B41" s="265"/>
      <c r="C41" s="274"/>
      <c r="E41" s="269"/>
      <c r="F41" s="274"/>
      <c r="G41" s="274"/>
      <c r="H41" s="274"/>
      <c r="I41" s="294"/>
      <c r="J41" s="294"/>
      <c r="K41" s="294"/>
      <c r="L41" s="295"/>
      <c r="M41" s="269"/>
    </row>
    <row r="42" spans="2:13" ht="15.75">
      <c r="B42" s="273">
        <f>+B39+1</f>
        <v>14</v>
      </c>
      <c r="C42" s="274"/>
      <c r="D42" s="1190" t="s">
        <v>434</v>
      </c>
      <c r="E42" s="1190"/>
      <c r="F42" s="1190"/>
      <c r="G42" s="1190"/>
      <c r="H42" s="1190"/>
      <c r="I42" s="1190"/>
      <c r="J42" s="1190"/>
      <c r="K42" s="1190"/>
      <c r="L42" s="1190"/>
      <c r="M42" s="269"/>
    </row>
    <row r="43" spans="2:13">
      <c r="B43" s="273"/>
      <c r="C43" s="274"/>
      <c r="E43" s="269"/>
      <c r="F43" s="274"/>
      <c r="G43" s="274"/>
      <c r="H43" s="274"/>
      <c r="I43" s="294"/>
      <c r="J43" s="294"/>
      <c r="K43" s="294"/>
      <c r="L43" s="295"/>
      <c r="M43" s="269"/>
    </row>
    <row r="44" spans="2:13">
      <c r="B44" s="273">
        <f>+B42+1</f>
        <v>15</v>
      </c>
      <c r="C44" s="274"/>
      <c r="D44" s="2" t="s">
        <v>436</v>
      </c>
      <c r="E44" s="269" t="str">
        <f>"Line "&amp;B152&amp;" Below"</f>
        <v>Line 75 Below</v>
      </c>
      <c r="F44" s="274"/>
      <c r="H44" s="274"/>
      <c r="I44" s="294"/>
      <c r="J44" s="294"/>
      <c r="K44" s="294"/>
      <c r="L44" s="299">
        <f>+G152</f>
        <v>2622788.6800000002</v>
      </c>
      <c r="M44" s="269"/>
    </row>
    <row r="45" spans="2:13">
      <c r="B45" s="273">
        <f>+B44+1</f>
        <v>16</v>
      </c>
      <c r="C45" s="274"/>
      <c r="D45" s="2" t="s">
        <v>474</v>
      </c>
      <c r="E45" s="269"/>
      <c r="F45" s="274"/>
      <c r="H45" s="274"/>
      <c r="I45" s="294"/>
      <c r="J45" s="294"/>
      <c r="K45" s="294"/>
      <c r="L45" s="660">
        <f>'WS F Misc Exp'!D28</f>
        <v>1411271.62</v>
      </c>
      <c r="M45" s="269"/>
    </row>
    <row r="46" spans="2:13">
      <c r="B46" s="273">
        <f>+B45+1</f>
        <v>17</v>
      </c>
      <c r="C46" s="274"/>
      <c r="D46" s="2" t="s">
        <v>475</v>
      </c>
      <c r="E46" s="269"/>
      <c r="F46" s="274"/>
      <c r="H46" s="274"/>
      <c r="I46" s="294"/>
      <c r="J46" s="294"/>
      <c r="K46" s="294"/>
      <c r="L46" s="660">
        <f>'WS F Misc Exp'!D32</f>
        <v>408876.66000000003</v>
      </c>
      <c r="M46" s="269"/>
    </row>
    <row r="47" spans="2:13">
      <c r="B47" s="273"/>
      <c r="C47" s="274"/>
      <c r="E47" s="269"/>
      <c r="F47" s="274"/>
      <c r="H47" s="274"/>
      <c r="I47" s="294"/>
      <c r="J47" s="294"/>
      <c r="K47" s="294"/>
      <c r="L47" s="274"/>
      <c r="M47" s="269"/>
    </row>
    <row r="48" spans="2:13" ht="15.75" thickBot="1">
      <c r="B48" s="273">
        <f>+B46+1</f>
        <v>18</v>
      </c>
      <c r="C48" s="274"/>
      <c r="D48" s="2" t="s">
        <v>435</v>
      </c>
      <c r="E48" s="281" t="str">
        <f>"(Line "&amp;B44&amp;" - Line "&amp;B45&amp;" - Line "&amp;B46&amp;")"</f>
        <v>(Line 15 - Line 16 - Line 17)</v>
      </c>
      <c r="F48" s="274"/>
      <c r="H48" s="274"/>
      <c r="I48" s="294"/>
      <c r="J48" s="294"/>
      <c r="K48" s="294"/>
      <c r="L48" s="300">
        <f>+L44-L45-L46</f>
        <v>802640.4</v>
      </c>
      <c r="M48" s="269"/>
    </row>
    <row r="49" spans="2:16" ht="15.75" thickTop="1">
      <c r="B49" s="273"/>
      <c r="C49" s="274"/>
      <c r="E49" s="269"/>
      <c r="F49" s="274"/>
      <c r="G49" s="274"/>
      <c r="H49" s="274"/>
      <c r="I49" s="294"/>
      <c r="J49" s="294"/>
      <c r="K49" s="294"/>
      <c r="L49" s="295"/>
      <c r="M49" s="269"/>
    </row>
    <row r="50" spans="2:16">
      <c r="B50" s="273"/>
      <c r="C50" s="274"/>
      <c r="E50" s="269"/>
      <c r="F50" s="274"/>
      <c r="G50" s="274"/>
      <c r="H50" s="274"/>
      <c r="I50" s="294"/>
      <c r="J50" s="294"/>
      <c r="K50" s="294"/>
      <c r="L50" s="295"/>
      <c r="M50" s="269"/>
    </row>
    <row r="51" spans="2:16">
      <c r="B51" s="273"/>
      <c r="C51" s="274"/>
      <c r="E51" s="269"/>
      <c r="F51" s="274"/>
      <c r="G51" s="274"/>
      <c r="H51" s="274"/>
      <c r="I51" s="294"/>
      <c r="J51" s="294"/>
      <c r="K51" s="294"/>
      <c r="L51" s="295"/>
      <c r="M51" s="269"/>
    </row>
    <row r="52" spans="2:16">
      <c r="D52" s="269"/>
      <c r="E52" s="269"/>
      <c r="G52" s="281"/>
      <c r="H52" s="269"/>
      <c r="I52" s="269"/>
      <c r="J52" s="269"/>
      <c r="K52" s="269"/>
      <c r="L52" s="269"/>
      <c r="M52" s="301"/>
    </row>
    <row r="53" spans="2:16">
      <c r="D53" s="269"/>
      <c r="E53" s="269"/>
      <c r="F53" s="274"/>
      <c r="G53" s="281"/>
      <c r="H53" s="269"/>
      <c r="I53" s="269"/>
      <c r="J53" s="269"/>
      <c r="K53" s="269"/>
      <c r="L53" s="269"/>
      <c r="M53" s="301"/>
      <c r="P53" s="302"/>
    </row>
    <row r="54" spans="2:16">
      <c r="D54" s="269"/>
      <c r="E54" s="269"/>
      <c r="F54" s="274" t="str">
        <f>F5</f>
        <v xml:space="preserve">AEP East Companies </v>
      </c>
      <c r="G54" s="281"/>
      <c r="H54" s="269"/>
      <c r="I54" s="269"/>
      <c r="J54" s="269"/>
      <c r="K54" s="269"/>
      <c r="L54" s="269"/>
      <c r="M54" s="301"/>
      <c r="P54" s="302"/>
    </row>
    <row r="55" spans="2:16">
      <c r="D55" s="269"/>
      <c r="E55" s="272"/>
      <c r="F55" s="274" t="str">
        <f>F6</f>
        <v>Transmission Cost of Service Formula Rate</v>
      </c>
      <c r="G55" s="272"/>
      <c r="H55" s="272"/>
      <c r="I55" s="272"/>
      <c r="J55" s="272"/>
      <c r="K55" s="272"/>
      <c r="L55" s="272"/>
      <c r="M55" s="303"/>
      <c r="P55" s="298"/>
    </row>
    <row r="56" spans="2:16">
      <c r="D56" s="269"/>
      <c r="E56" s="272"/>
      <c r="F56" s="286" t="str">
        <f>F7</f>
        <v>Utilizing  Actual/Projected FERC Form 1 Data</v>
      </c>
      <c r="G56" s="272"/>
      <c r="H56" s="272"/>
      <c r="I56" s="272"/>
      <c r="J56" s="272"/>
      <c r="K56" s="272"/>
      <c r="L56" s="272"/>
      <c r="M56" s="304"/>
      <c r="P56" s="298"/>
    </row>
    <row r="57" spans="2:16">
      <c r="D57" s="269"/>
      <c r="E57" s="272"/>
      <c r="F57" s="274"/>
      <c r="G57" s="272"/>
      <c r="H57" s="272"/>
      <c r="I57" s="272"/>
      <c r="J57" s="272"/>
      <c r="K57" s="272"/>
      <c r="L57" s="272"/>
      <c r="M57" s="272"/>
      <c r="P57" s="298"/>
    </row>
    <row r="58" spans="2:16">
      <c r="D58" s="269"/>
      <c r="E58" s="272"/>
      <c r="F58" s="274" t="str">
        <f>F9</f>
        <v>KENTUCKY POWER COMPANY</v>
      </c>
      <c r="G58" s="272"/>
      <c r="H58" s="272"/>
      <c r="I58" s="272"/>
      <c r="J58" s="272"/>
      <c r="K58" s="272"/>
      <c r="L58" s="272"/>
      <c r="M58" s="272"/>
      <c r="P58" s="298"/>
    </row>
    <row r="59" spans="2:16">
      <c r="D59" s="269"/>
      <c r="E59" s="286"/>
      <c r="F59" s="286"/>
      <c r="G59" s="286"/>
      <c r="H59" s="286"/>
      <c r="I59" s="286"/>
      <c r="J59" s="286"/>
      <c r="K59" s="286"/>
      <c r="L59" s="272"/>
      <c r="M59" s="272"/>
      <c r="P59" s="298"/>
    </row>
    <row r="60" spans="2:16">
      <c r="D60" s="274" t="s">
        <v>123</v>
      </c>
      <c r="E60" s="274" t="s">
        <v>124</v>
      </c>
      <c r="F60" s="274"/>
      <c r="G60" s="274" t="s">
        <v>125</v>
      </c>
      <c r="H60" s="272" t="s">
        <v>116</v>
      </c>
      <c r="I60" s="1185" t="s">
        <v>126</v>
      </c>
      <c r="J60" s="1186"/>
      <c r="K60" s="272"/>
      <c r="L60" s="275" t="s">
        <v>127</v>
      </c>
      <c r="M60" s="272"/>
    </row>
    <row r="61" spans="2:16">
      <c r="B61" s="265"/>
      <c r="D61" s="72"/>
      <c r="E61" s="72"/>
      <c r="F61" s="72"/>
      <c r="G61" s="299"/>
      <c r="H61" s="272"/>
      <c r="I61" s="272"/>
      <c r="J61" s="306"/>
      <c r="K61" s="272"/>
      <c r="M61" s="272"/>
    </row>
    <row r="62" spans="2:16" ht="15.75">
      <c r="B62" s="307"/>
      <c r="C62" s="274"/>
      <c r="D62" s="72"/>
      <c r="E62" s="308" t="s">
        <v>96</v>
      </c>
      <c r="F62" s="309"/>
      <c r="G62" s="272"/>
      <c r="H62" s="272"/>
      <c r="I62" s="272"/>
      <c r="J62" s="274"/>
      <c r="K62" s="272"/>
      <c r="L62" s="310" t="s">
        <v>120</v>
      </c>
      <c r="M62" s="272"/>
      <c r="P62" s="302"/>
    </row>
    <row r="63" spans="2:16" ht="15.75">
      <c r="B63" s="265"/>
      <c r="C63" s="274"/>
      <c r="D63" s="311" t="s">
        <v>95</v>
      </c>
      <c r="E63" s="312" t="s">
        <v>114</v>
      </c>
      <c r="F63" s="272"/>
      <c r="G63" s="311" t="s">
        <v>82</v>
      </c>
      <c r="H63" s="313"/>
      <c r="I63" s="1187" t="s">
        <v>121</v>
      </c>
      <c r="J63" s="1188"/>
      <c r="K63" s="313"/>
      <c r="L63" s="311" t="s">
        <v>117</v>
      </c>
      <c r="M63" s="272"/>
    </row>
    <row r="64" spans="2:16">
      <c r="B64" s="273" t="str">
        <f>B11</f>
        <v>Line</v>
      </c>
      <c r="C64" s="274"/>
      <c r="D64" s="269"/>
      <c r="E64" s="272"/>
      <c r="F64" s="272"/>
      <c r="G64" s="850" t="s">
        <v>356</v>
      </c>
      <c r="H64" s="272"/>
      <c r="I64" s="272"/>
      <c r="J64" s="272"/>
      <c r="K64" s="272"/>
      <c r="L64" s="272"/>
      <c r="M64" s="272"/>
    </row>
    <row r="65" spans="2:15" ht="15.75" thickBot="1">
      <c r="B65" s="279" t="str">
        <f>B12</f>
        <v>No.</v>
      </c>
      <c r="C65" s="274"/>
      <c r="D65" s="269" t="s">
        <v>83</v>
      </c>
      <c r="E65" s="286"/>
      <c r="F65" s="286"/>
      <c r="G65" s="272"/>
      <c r="H65" s="272"/>
      <c r="I65" s="286"/>
      <c r="J65" s="272"/>
      <c r="K65" s="272"/>
      <c r="L65" s="272"/>
      <c r="M65" s="272"/>
    </row>
    <row r="66" spans="2:15">
      <c r="B66" s="273">
        <f>+B48+1</f>
        <v>19</v>
      </c>
      <c r="C66" s="274"/>
      <c r="D66" s="269" t="s">
        <v>128</v>
      </c>
      <c r="E66" s="272" t="str">
        <f>"(Worksheet A ln "&amp;'WS A - RB Support'!A23&amp;"."&amp;'WS A - RB Support'!C8&amp;")"</f>
        <v>(Worksheet A ln 14.(b))</v>
      </c>
      <c r="F66" s="272"/>
      <c r="G66" s="285">
        <f>'WS A - RB Support'!C23</f>
        <v>1290747746.7092309</v>
      </c>
      <c r="H66" s="285"/>
      <c r="I66" s="286" t="s">
        <v>129</v>
      </c>
      <c r="J66" s="287">
        <v>0</v>
      </c>
      <c r="K66" s="272"/>
      <c r="L66" s="314">
        <f>+J66*G66</f>
        <v>0</v>
      </c>
      <c r="M66" s="272"/>
    </row>
    <row r="67" spans="2:15">
      <c r="B67" s="273">
        <f>+B66+1</f>
        <v>20</v>
      </c>
      <c r="C67" s="274"/>
      <c r="D67" s="269" t="s">
        <v>379</v>
      </c>
      <c r="E67" s="272" t="str">
        <f>"(Worksheet A ln "&amp;'WS A - RB Support'!A23&amp;"."&amp;'WS A - RB Support'!D8&amp;")"</f>
        <v>(Worksheet A ln 14.(c))</v>
      </c>
      <c r="F67" s="272"/>
      <c r="G67" s="314">
        <f>-'WS A - RB Support'!D23</f>
        <v>-33506303.333846167</v>
      </c>
      <c r="H67" s="285"/>
      <c r="I67" s="286" t="s">
        <v>129</v>
      </c>
      <c r="J67" s="287">
        <v>0</v>
      </c>
      <c r="K67" s="272"/>
      <c r="L67" s="314">
        <f>+J67*G67</f>
        <v>0</v>
      </c>
      <c r="M67" s="272"/>
    </row>
    <row r="68" spans="2:15">
      <c r="B68" s="273">
        <f t="shared" ref="B68:B74" si="0">+B67+1</f>
        <v>21</v>
      </c>
      <c r="C68" s="327"/>
      <c r="D68" s="315" t="s">
        <v>130</v>
      </c>
      <c r="E68" s="272" t="str">
        <f>"(Worksheet A ln "&amp;'WS A - RB Support'!A23&amp;"."&amp;'WS A - RB Support'!E8&amp;" &amp; TCOS Ln "&amp;B237&amp;")"</f>
        <v>(Worksheet A ln 14.(d) &amp; TCOS Ln 134)</v>
      </c>
      <c r="F68" s="316"/>
      <c r="G68" s="285">
        <f>'WS A - RB Support'!E23</f>
        <v>971165269.80000007</v>
      </c>
      <c r="H68" s="285"/>
      <c r="I68" s="317" t="s">
        <v>131</v>
      </c>
      <c r="J68" s="287" t="s">
        <v>116</v>
      </c>
      <c r="K68" s="318"/>
      <c r="L68" s="314">
        <f>+L237</f>
        <v>958176632.88076925</v>
      </c>
      <c r="M68" s="318"/>
    </row>
    <row r="69" spans="2:15">
      <c r="B69" s="273">
        <f t="shared" si="0"/>
        <v>22</v>
      </c>
      <c r="C69" s="327"/>
      <c r="D69" s="269" t="s">
        <v>380</v>
      </c>
      <c r="E69" s="272" t="str">
        <f>"(Worksheet A ln "&amp;'WS A - RB Support'!A23&amp;"."&amp;'WS A - RB Support'!F8&amp;")"</f>
        <v>(Worksheet A ln 14.(e))</v>
      </c>
      <c r="F69" s="316"/>
      <c r="G69" s="285">
        <f>-'WS A - RB Support'!F23</f>
        <v>0</v>
      </c>
      <c r="H69" s="285"/>
      <c r="I69" s="317" t="s">
        <v>122</v>
      </c>
      <c r="J69" s="287">
        <f>L239</f>
        <v>0.98662571930531895</v>
      </c>
      <c r="K69" s="318"/>
      <c r="L69" s="314">
        <f>+G69*J69</f>
        <v>0</v>
      </c>
      <c r="M69" s="318"/>
    </row>
    <row r="70" spans="2:15">
      <c r="B70" s="273">
        <f>+B69+1</f>
        <v>23</v>
      </c>
      <c r="C70" s="327"/>
      <c r="D70" s="269" t="s">
        <v>132</v>
      </c>
      <c r="E70" s="272" t="str">
        <f>"(Worksheet A ln "&amp;'WS A - RB Support'!A23&amp;"."&amp;'WS A - RB Support'!G8&amp;")"</f>
        <v>(Worksheet A ln 14.(f))</v>
      </c>
      <c r="F70" s="272"/>
      <c r="G70" s="285">
        <f>'WS A - RB Support'!G23</f>
        <v>1228649624.6623075</v>
      </c>
      <c r="H70" s="285"/>
      <c r="I70" s="286" t="s">
        <v>129</v>
      </c>
      <c r="J70" s="287">
        <v>0</v>
      </c>
      <c r="K70" s="272"/>
      <c r="L70" s="314">
        <f>+J70*G70</f>
        <v>0</v>
      </c>
      <c r="M70" s="272"/>
    </row>
    <row r="71" spans="2:15">
      <c r="B71" s="273">
        <f t="shared" si="0"/>
        <v>24</v>
      </c>
      <c r="C71" s="327"/>
      <c r="D71" s="269" t="s">
        <v>377</v>
      </c>
      <c r="E71" s="272" t="str">
        <f>"(Worksheet A ln "&amp;'WS A - RB Support'!A23&amp;"."&amp;'WS A - RB Support'!H8&amp;")"</f>
        <v>(Worksheet A ln 14.(g))</v>
      </c>
      <c r="F71" s="272"/>
      <c r="G71" s="314">
        <f>-'WS A - RB Support'!H23</f>
        <v>0</v>
      </c>
      <c r="H71" s="285"/>
      <c r="I71" s="286" t="s">
        <v>129</v>
      </c>
      <c r="J71" s="287">
        <v>0</v>
      </c>
      <c r="K71" s="272"/>
      <c r="L71" s="314">
        <f>+G71*J71</f>
        <v>0</v>
      </c>
      <c r="M71" s="272"/>
    </row>
    <row r="72" spans="2:15">
      <c r="B72" s="273">
        <f t="shared" si="0"/>
        <v>25</v>
      </c>
      <c r="C72" s="327"/>
      <c r="D72" s="269" t="s">
        <v>133</v>
      </c>
      <c r="E72" s="272" t="str">
        <f>"(Worksheet A ln "&amp;'WS A - RB Support'!A23&amp;"."&amp;'WS A - RB Support'!I8&amp;")"</f>
        <v>(Worksheet A ln 14.(h))</v>
      </c>
      <c r="F72" s="272"/>
      <c r="G72" s="285">
        <f>'WS A - RB Support'!I23</f>
        <v>167875816.19538465</v>
      </c>
      <c r="H72" s="285"/>
      <c r="I72" s="286" t="s">
        <v>134</v>
      </c>
      <c r="J72" s="287">
        <f>L257</f>
        <v>0.11037346423821143</v>
      </c>
      <c r="K72" s="272"/>
      <c r="L72" s="314">
        <f>+J72*G72</f>
        <v>18529035.395301841</v>
      </c>
      <c r="M72" s="272"/>
    </row>
    <row r="73" spans="2:15">
      <c r="B73" s="273">
        <f t="shared" si="0"/>
        <v>26</v>
      </c>
      <c r="C73" s="327"/>
      <c r="D73" s="269" t="s">
        <v>378</v>
      </c>
      <c r="E73" s="272" t="str">
        <f>"(Worksheet A ln "&amp;'WS A - RB Support'!A23&amp;"."&amp;'WS A - RB Support'!J8&amp;")"</f>
        <v>(Worksheet A ln 14.(i))</v>
      </c>
      <c r="F73" s="272"/>
      <c r="G73" s="314">
        <f>-'WS A - RB Support'!J23</f>
        <v>-158819.17999999996</v>
      </c>
      <c r="H73" s="285"/>
      <c r="I73" s="286" t="s">
        <v>134</v>
      </c>
      <c r="J73" s="287">
        <f>L257</f>
        <v>0.11037346423821143</v>
      </c>
      <c r="K73" s="272"/>
      <c r="L73" s="314">
        <f>+G73*J73</f>
        <v>-17529.423084072059</v>
      </c>
      <c r="M73" s="272"/>
    </row>
    <row r="74" spans="2:15">
      <c r="B74" s="273">
        <f t="shared" si="0"/>
        <v>27</v>
      </c>
      <c r="C74" s="327"/>
      <c r="D74" s="269" t="s">
        <v>135</v>
      </c>
      <c r="E74" s="272" t="str">
        <f>"(Worksheet A ln "&amp;'WS A - RB Support'!A23&amp;"."&amp;'WS A - RB Support'!K8&amp;")"</f>
        <v>(Worksheet A ln 14.(j))</v>
      </c>
      <c r="F74" s="272"/>
      <c r="G74" s="285">
        <f>'WS A - RB Support'!K23</f>
        <v>4423921.7984615378</v>
      </c>
      <c r="H74" s="285"/>
      <c r="I74" s="286" t="s">
        <v>134</v>
      </c>
      <c r="J74" s="287">
        <f>L257</f>
        <v>0.11037346423821143</v>
      </c>
      <c r="K74" s="272"/>
      <c r="L74" s="1143">
        <f>+J74*G74</f>
        <v>488283.57441513852</v>
      </c>
      <c r="M74" s="272"/>
      <c r="N74" s="269"/>
      <c r="O74" s="269"/>
    </row>
    <row r="75" spans="2:15">
      <c r="B75" s="273" t="s">
        <v>1342</v>
      </c>
      <c r="C75" s="327"/>
      <c r="D75" s="269" t="s">
        <v>1335</v>
      </c>
      <c r="E75" s="272" t="str">
        <f>"(Worksheet A ln "&amp;'WS A - RB Support'!A23&amp;"."&amp;'WS A - RB Support'!L8&amp;")"</f>
        <v>(Worksheet A ln 14.(k))</v>
      </c>
      <c r="F75" s="272"/>
      <c r="G75" s="285">
        <f>'WS A - RB Support'!L23</f>
        <v>0</v>
      </c>
      <c r="H75" s="285"/>
      <c r="I75" s="286" t="s">
        <v>1337</v>
      </c>
      <c r="J75" s="287">
        <f>L246</f>
        <v>1</v>
      </c>
      <c r="K75" s="272"/>
      <c r="L75" s="1143">
        <f t="shared" ref="L75:L76" si="1">+J75*G75</f>
        <v>0</v>
      </c>
      <c r="M75" s="272"/>
      <c r="N75" s="269"/>
      <c r="O75" s="269"/>
    </row>
    <row r="76" spans="2:15" ht="15.75" thickBot="1">
      <c r="B76" s="273" t="s">
        <v>1343</v>
      </c>
      <c r="C76" s="327"/>
      <c r="D76" s="269" t="s">
        <v>1344</v>
      </c>
      <c r="E76" s="272" t="str">
        <f>"(Worksheet A ln "&amp;'WS A - RB Support'!A23&amp;"."&amp;'WS A - RB Support'!M8&amp;")"</f>
        <v>(Worksheet A ln 14.(l))</v>
      </c>
      <c r="F76" s="272"/>
      <c r="G76" s="320">
        <f>'WS A - RB Support'!M23</f>
        <v>0</v>
      </c>
      <c r="H76" s="285"/>
      <c r="I76" s="286" t="s">
        <v>1337</v>
      </c>
      <c r="J76" s="287">
        <f>L246</f>
        <v>1</v>
      </c>
      <c r="K76" s="272"/>
      <c r="L76" s="375">
        <f t="shared" si="1"/>
        <v>0</v>
      </c>
      <c r="M76" s="272"/>
      <c r="N76" s="269"/>
      <c r="O76" s="269"/>
    </row>
    <row r="77" spans="2:15" ht="15.75">
      <c r="B77" s="273">
        <f>+B74+1</f>
        <v>28</v>
      </c>
      <c r="C77" s="327"/>
      <c r="D77" s="269" t="s">
        <v>48</v>
      </c>
      <c r="E77" s="274" t="str">
        <f>"(sum lns "&amp;B66&amp;" to "&amp;B74&amp;")"</f>
        <v>(sum lns 19 to 27)</v>
      </c>
      <c r="F77" s="4"/>
      <c r="G77" s="285">
        <f>SUM(G66:G76)</f>
        <v>3629197256.6515384</v>
      </c>
      <c r="H77" s="285"/>
      <c r="I77" s="308" t="s">
        <v>757</v>
      </c>
      <c r="J77" s="321">
        <f>+L77/G77</f>
        <v>0.26925414997392272</v>
      </c>
      <c r="K77" s="272"/>
      <c r="L77" s="285">
        <f>SUM(L66:L76)</f>
        <v>977176422.42740214</v>
      </c>
      <c r="M77" s="272"/>
      <c r="N77" s="269"/>
      <c r="O77" s="269"/>
    </row>
    <row r="78" spans="2:15" ht="15.75">
      <c r="B78" s="273"/>
      <c r="C78" s="274"/>
      <c r="D78" s="269"/>
      <c r="E78" s="81"/>
      <c r="F78" s="4"/>
      <c r="G78" s="285"/>
      <c r="H78" s="285"/>
      <c r="I78" s="309" t="s">
        <v>218</v>
      </c>
      <c r="J78" s="322">
        <f>+L68/(G70+G68+G71)</f>
        <v>0.43557148162458131</v>
      </c>
      <c r="K78" s="272"/>
      <c r="L78" s="285"/>
      <c r="M78" s="272"/>
      <c r="N78" s="323"/>
      <c r="O78" s="269"/>
    </row>
    <row r="79" spans="2:15">
      <c r="B79" s="273">
        <f>+B77+1</f>
        <v>29</v>
      </c>
      <c r="C79" s="274"/>
      <c r="D79" s="269" t="s">
        <v>24</v>
      </c>
      <c r="E79" s="286"/>
      <c r="F79" s="286"/>
      <c r="G79" s="285"/>
      <c r="H79" s="324"/>
      <c r="I79" s="286"/>
      <c r="J79" s="325"/>
      <c r="K79" s="272"/>
      <c r="L79" s="285"/>
      <c r="M79" s="272"/>
      <c r="N79" s="272"/>
      <c r="O79" s="272"/>
    </row>
    <row r="80" spans="2:15">
      <c r="B80" s="273">
        <f>+B79+1</f>
        <v>30</v>
      </c>
      <c r="C80" s="274"/>
      <c r="D80" s="269" t="str">
        <f>+D66</f>
        <v xml:space="preserve">  Production</v>
      </c>
      <c r="E80" s="272" t="str">
        <f>"(Worksheet A ln "&amp;'WS A - RB Support'!A42&amp;"."&amp;'WS A - RB Support'!C27&amp;")"</f>
        <v>(Worksheet A ln 28.(b))</v>
      </c>
      <c r="F80" s="272"/>
      <c r="G80" s="285">
        <f>'WS A - RB Support'!C42</f>
        <v>641234600.62923074</v>
      </c>
      <c r="H80" s="285"/>
      <c r="I80" s="286" t="s">
        <v>129</v>
      </c>
      <c r="J80" s="287">
        <v>0</v>
      </c>
      <c r="K80" s="272"/>
      <c r="L80" s="314">
        <f>+J80*G80</f>
        <v>0</v>
      </c>
      <c r="M80" s="272"/>
      <c r="N80" s="272"/>
      <c r="O80" s="272"/>
    </row>
    <row r="81" spans="2:15">
      <c r="B81" s="273">
        <f t="shared" ref="B81:B88" si="2">+B80+1</f>
        <v>31</v>
      </c>
      <c r="C81" s="274"/>
      <c r="D81" s="269" t="s">
        <v>379</v>
      </c>
      <c r="E81" s="272" t="str">
        <f>"(Worksheet A ln "&amp;'WS A - RB Support'!A42&amp;"."&amp;'WS A - RB Support'!D27&amp;")"</f>
        <v>(Worksheet A ln 28.(c))</v>
      </c>
      <c r="F81" s="272"/>
      <c r="G81" s="314">
        <f>-'WS A - RB Support'!D42</f>
        <v>-9122313.8261538465</v>
      </c>
      <c r="H81" s="285"/>
      <c r="I81" s="286" t="s">
        <v>129</v>
      </c>
      <c r="J81" s="287">
        <v>0</v>
      </c>
      <c r="K81" s="272"/>
      <c r="L81" s="314">
        <f>+J81*G81</f>
        <v>0</v>
      </c>
      <c r="M81" s="272"/>
      <c r="N81" s="272"/>
      <c r="O81" s="272"/>
    </row>
    <row r="82" spans="2:15" ht="15.75">
      <c r="B82" s="273">
        <f t="shared" si="2"/>
        <v>32</v>
      </c>
      <c r="C82" s="327"/>
      <c r="D82" s="315" t="str">
        <f>D68</f>
        <v xml:space="preserve">  Transmission</v>
      </c>
      <c r="E82" s="272" t="str">
        <f>"(Worksheet A ln "&amp;'WS A - RB Support'!A42&amp;"."&amp;'WS A - RB Support'!E27&amp;" &amp; "&amp;"ln "&amp;'WS A - RB Support'!A64&amp;"."&amp;'WS A - RB Support'!D47&amp;")"</f>
        <v>(Worksheet A ln 28.(d) &amp; ln 43.(c))</v>
      </c>
      <c r="F82" s="316"/>
      <c r="G82" s="319">
        <f>'WS A - RB Support'!E42</f>
        <v>306188467.65769231</v>
      </c>
      <c r="H82" s="285"/>
      <c r="I82" s="849" t="s">
        <v>27</v>
      </c>
      <c r="J82" s="326">
        <f>L82/G82</f>
        <v>0.97742912121632308</v>
      </c>
      <c r="K82" s="318"/>
      <c r="L82" s="314">
        <f>'WS A - RB Support'!D64</f>
        <v>299277524.86923075</v>
      </c>
      <c r="M82" s="318"/>
      <c r="N82" s="272"/>
      <c r="O82" s="272"/>
    </row>
    <row r="83" spans="2:15" ht="15.75">
      <c r="B83" s="273">
        <f t="shared" si="2"/>
        <v>33</v>
      </c>
      <c r="C83" s="327"/>
      <c r="D83" s="269" t="s">
        <v>380</v>
      </c>
      <c r="E83" s="272" t="str">
        <f>"(Worksheet A ln "&amp;'WS A - RB Support'!A42&amp;"."&amp;'WS A - RB Support'!F27&amp;")"</f>
        <v>(Worksheet A ln 28.(e))</v>
      </c>
      <c r="F83" s="316"/>
      <c r="G83" s="314">
        <f>-'WS A - RB Support'!F42</f>
        <v>0</v>
      </c>
      <c r="H83" s="285"/>
      <c r="I83" s="849" t="s">
        <v>27</v>
      </c>
      <c r="J83" s="287">
        <f>+J82</f>
        <v>0.97742912121632308</v>
      </c>
      <c r="K83" s="318"/>
      <c r="L83" s="314">
        <f t="shared" ref="L83:L90" si="3">+J83*G83</f>
        <v>0</v>
      </c>
      <c r="M83" s="318"/>
      <c r="N83" s="272"/>
      <c r="O83" s="272"/>
    </row>
    <row r="84" spans="2:15">
      <c r="B84" s="273">
        <f>+B83+1</f>
        <v>34</v>
      </c>
      <c r="C84" s="327"/>
      <c r="D84" s="269" t="str">
        <f>+D70</f>
        <v xml:space="preserve">  Distribution</v>
      </c>
      <c r="E84" s="272" t="str">
        <f>"(Worksheet A ln "&amp;'WS A - RB Support'!A42&amp;"."&amp;'WS A - RB Support'!G27&amp;")"</f>
        <v>(Worksheet A ln 28.(f))</v>
      </c>
      <c r="F84" s="272"/>
      <c r="G84" s="285">
        <f>'WS A - RB Support'!G42</f>
        <v>386774319.62769234</v>
      </c>
      <c r="H84" s="285"/>
      <c r="I84" s="286" t="s">
        <v>129</v>
      </c>
      <c r="J84" s="287">
        <v>0</v>
      </c>
      <c r="K84" s="272"/>
      <c r="L84" s="314">
        <f t="shared" si="3"/>
        <v>0</v>
      </c>
      <c r="M84" s="272"/>
      <c r="N84" s="272"/>
      <c r="O84" s="272"/>
    </row>
    <row r="85" spans="2:15">
      <c r="B85" s="273">
        <f t="shared" si="2"/>
        <v>35</v>
      </c>
      <c r="C85" s="327"/>
      <c r="D85" s="269" t="s">
        <v>377</v>
      </c>
      <c r="E85" s="272" t="str">
        <f>"(Worksheet A ln "&amp;'WS A - RB Support'!A42&amp;"."&amp;'WS A - RB Support'!H27&amp;")"</f>
        <v>(Worksheet A ln 28.(g))</v>
      </c>
      <c r="F85" s="272"/>
      <c r="G85" s="314">
        <f>-'WS A - RB Support'!H42</f>
        <v>0</v>
      </c>
      <c r="H85" s="285"/>
      <c r="I85" s="286" t="s">
        <v>129</v>
      </c>
      <c r="J85" s="287">
        <v>0</v>
      </c>
      <c r="K85" s="272"/>
      <c r="L85" s="314">
        <f t="shared" si="3"/>
        <v>0</v>
      </c>
      <c r="M85" s="272"/>
      <c r="N85" s="272"/>
      <c r="O85" s="272"/>
    </row>
    <row r="86" spans="2:15">
      <c r="B86" s="273">
        <f t="shared" si="2"/>
        <v>36</v>
      </c>
      <c r="C86" s="327"/>
      <c r="D86" s="269" t="str">
        <f>+D72</f>
        <v xml:space="preserve">  General Plant   </v>
      </c>
      <c r="E86" s="272" t="str">
        <f>"(Worksheet A ln "&amp;'WS A - RB Support'!A42&amp;"."&amp;'WS A - RB Support'!I27&amp;")"</f>
        <v>(Worksheet A ln 28.(h))</v>
      </c>
      <c r="F86" s="272"/>
      <c r="G86" s="285">
        <f>'WS A - RB Support'!I42</f>
        <v>65857990.241538458</v>
      </c>
      <c r="H86" s="285"/>
      <c r="I86" s="286" t="s">
        <v>134</v>
      </c>
      <c r="J86" s="287">
        <f>L257</f>
        <v>0.11037346423821143</v>
      </c>
      <c r="K86" s="272"/>
      <c r="L86" s="314">
        <f t="shared" si="3"/>
        <v>7268974.5307249222</v>
      </c>
      <c r="M86" s="272"/>
      <c r="N86" s="272"/>
      <c r="O86" s="272"/>
    </row>
    <row r="87" spans="2:15">
      <c r="B87" s="273">
        <f t="shared" si="2"/>
        <v>37</v>
      </c>
      <c r="C87" s="327"/>
      <c r="D87" s="269" t="s">
        <v>378</v>
      </c>
      <c r="E87" s="272" t="str">
        <f>"(Worksheet A ln "&amp;'WS A - RB Support'!A42&amp;"."&amp;'WS A - RB Support'!J27&amp;")"</f>
        <v>(Worksheet A ln 28.(i))</v>
      </c>
      <c r="F87" s="272"/>
      <c r="G87" s="314">
        <f>-'WS A - RB Support'!J42</f>
        <v>-111506.8753846154</v>
      </c>
      <c r="H87" s="285"/>
      <c r="I87" s="286" t="s">
        <v>134</v>
      </c>
      <c r="J87" s="287">
        <f>L257</f>
        <v>0.11037346423821143</v>
      </c>
      <c r="K87" s="272"/>
      <c r="L87" s="314">
        <f t="shared" si="3"/>
        <v>-12307.400122578545</v>
      </c>
      <c r="M87" s="272"/>
      <c r="N87" s="272"/>
      <c r="O87" s="272"/>
    </row>
    <row r="88" spans="2:15">
      <c r="B88" s="273">
        <f t="shared" si="2"/>
        <v>38</v>
      </c>
      <c r="C88" s="327"/>
      <c r="D88" s="269" t="str">
        <f>+D74</f>
        <v xml:space="preserve">  Intangible Plant</v>
      </c>
      <c r="E88" s="272" t="str">
        <f>"(Worksheet A ln "&amp;'WS A - RB Support'!A42&amp;"."&amp;'WS A - RB Support'!K27&amp;")"</f>
        <v>(Worksheet A ln 28.(j))</v>
      </c>
      <c r="F88" s="272"/>
      <c r="G88" s="285">
        <f>'WS A - RB Support'!K42</f>
        <v>2529309.5399999991</v>
      </c>
      <c r="H88" s="285"/>
      <c r="I88" s="286" t="s">
        <v>134</v>
      </c>
      <c r="J88" s="287">
        <f>L257</f>
        <v>0.11037346423821143</v>
      </c>
      <c r="K88" s="272"/>
      <c r="L88" s="1143">
        <f t="shared" si="3"/>
        <v>279168.65606055688</v>
      </c>
      <c r="M88" s="272"/>
      <c r="N88" s="272"/>
      <c r="O88" s="272"/>
    </row>
    <row r="89" spans="2:15">
      <c r="B89" s="273" t="s">
        <v>1345</v>
      </c>
      <c r="C89" s="327"/>
      <c r="D89" s="269" t="s">
        <v>1335</v>
      </c>
      <c r="E89" s="272" t="str">
        <f>"(Worksheet A ln "&amp;'WS A - RB Support'!A42&amp;"."&amp;'WS A - RB Support'!L27&amp;")"</f>
        <v>(Worksheet A ln 28.(k))</v>
      </c>
      <c r="F89" s="272"/>
      <c r="G89" s="285">
        <f>'WS A - RB Support'!L42</f>
        <v>0</v>
      </c>
      <c r="H89" s="285"/>
      <c r="I89" s="286" t="s">
        <v>1337</v>
      </c>
      <c r="J89" s="287">
        <f>L246</f>
        <v>1</v>
      </c>
      <c r="K89" s="272"/>
      <c r="L89" s="1143">
        <f t="shared" si="3"/>
        <v>0</v>
      </c>
      <c r="M89" s="272"/>
      <c r="N89" s="272"/>
      <c r="O89" s="272"/>
    </row>
    <row r="90" spans="2:15" ht="15.75" thickBot="1">
      <c r="B90" s="273" t="s">
        <v>1346</v>
      </c>
      <c r="C90" s="327"/>
      <c r="D90" s="269" t="s">
        <v>1344</v>
      </c>
      <c r="E90" s="272" t="str">
        <f>"(Worksheet A ln "&amp;'WS A - RB Support'!A42&amp;"."&amp;'WS A - RB Support'!M27&amp;")"</f>
        <v>(Worksheet A ln 28.(l))</v>
      </c>
      <c r="F90" s="272"/>
      <c r="G90" s="320">
        <f>'WS A - RB Support'!M42</f>
        <v>0</v>
      </c>
      <c r="H90" s="285"/>
      <c r="I90" s="286" t="s">
        <v>1337</v>
      </c>
      <c r="J90" s="287">
        <f>L246</f>
        <v>1</v>
      </c>
      <c r="K90" s="272"/>
      <c r="L90" s="375">
        <f t="shared" si="3"/>
        <v>0</v>
      </c>
      <c r="M90" s="272"/>
      <c r="N90" s="272"/>
      <c r="O90" s="272"/>
    </row>
    <row r="91" spans="2:15">
      <c r="B91" s="273">
        <f>+B88+1</f>
        <v>39</v>
      </c>
      <c r="C91" s="327"/>
      <c r="D91" s="269" t="s">
        <v>47</v>
      </c>
      <c r="E91" s="835" t="str">
        <f>"(sum lns "&amp;B80&amp;" to "&amp;B88&amp;")"</f>
        <v>(sum lns 30 to 38)</v>
      </c>
      <c r="F91" s="510"/>
      <c r="G91" s="285">
        <f>SUM(G80:G90)</f>
        <v>1393350866.9946153</v>
      </c>
      <c r="H91" s="285"/>
      <c r="I91" s="286"/>
      <c r="J91" s="272"/>
      <c r="K91" s="285"/>
      <c r="L91" s="285">
        <f>SUM(L80:L90)</f>
        <v>306813360.65589368</v>
      </c>
      <c r="M91" s="272"/>
      <c r="N91" s="272"/>
      <c r="O91" s="272"/>
    </row>
    <row r="92" spans="2:15">
      <c r="B92" s="273"/>
      <c r="C92" s="274"/>
      <c r="E92" s="195"/>
      <c r="F92" s="510"/>
      <c r="G92" s="285"/>
      <c r="H92" s="285"/>
      <c r="I92" s="286"/>
      <c r="J92" s="328"/>
      <c r="K92" s="272"/>
      <c r="L92" s="285"/>
      <c r="M92" s="272"/>
      <c r="N92" s="272"/>
      <c r="O92" s="272"/>
    </row>
    <row r="93" spans="2:15">
      <c r="B93" s="273">
        <f>+B91+1</f>
        <v>40</v>
      </c>
      <c r="C93" s="274"/>
      <c r="D93" s="269" t="s">
        <v>84</v>
      </c>
      <c r="E93" s="286"/>
      <c r="F93" s="286"/>
      <c r="G93" s="285"/>
      <c r="H93" s="285"/>
      <c r="I93" s="286"/>
      <c r="J93" s="272"/>
      <c r="K93" s="272"/>
      <c r="L93" s="285"/>
      <c r="M93" s="272"/>
      <c r="N93" s="272"/>
      <c r="O93" s="272"/>
    </row>
    <row r="94" spans="2:15">
      <c r="B94" s="273">
        <f t="shared" ref="B94:B98" si="4">+B93+1</f>
        <v>41</v>
      </c>
      <c r="C94" s="327"/>
      <c r="D94" s="269" t="str">
        <f>+D80</f>
        <v xml:space="preserve">  Production</v>
      </c>
      <c r="E94" s="272" t="str">
        <f>" (ln "&amp;B66&amp;" + ln "&amp;B67&amp;" - ln "&amp;B80&amp;" - ln "&amp;B81&amp;")"</f>
        <v xml:space="preserve"> (ln 19 + ln 20 - ln 30 - ln 31)</v>
      </c>
      <c r="F94" s="272"/>
      <c r="G94" s="285">
        <f>G66+G67-G80-G81</f>
        <v>625129156.57230794</v>
      </c>
      <c r="H94" s="285"/>
      <c r="I94" s="286"/>
      <c r="J94" s="329"/>
      <c r="K94" s="272"/>
      <c r="L94" s="285">
        <f>L66+L67-L80-L81</f>
        <v>0</v>
      </c>
      <c r="M94" s="272"/>
      <c r="N94" s="272"/>
      <c r="O94" s="272"/>
    </row>
    <row r="95" spans="2:15">
      <c r="B95" s="273">
        <f t="shared" si="4"/>
        <v>42</v>
      </c>
      <c r="C95" s="327"/>
      <c r="D95" s="269" t="str">
        <f>+D82</f>
        <v xml:space="preserve">  Transmission</v>
      </c>
      <c r="E95" s="272" t="str">
        <f>" (ln "&amp;B68&amp;" + ln "&amp;B69&amp;" - ln "&amp;B82&amp;" - ln "&amp;B83&amp;")"</f>
        <v xml:space="preserve"> (ln 21 + ln 22 - ln 32 - ln 33)</v>
      </c>
      <c r="F95" s="272"/>
      <c r="G95" s="285">
        <f>+G68+G69-G82-G83</f>
        <v>664976802.14230776</v>
      </c>
      <c r="H95" s="285"/>
      <c r="I95" s="286"/>
      <c r="J95" s="326"/>
      <c r="K95" s="272"/>
      <c r="L95" s="285">
        <f>+L68+L69-L82-L83</f>
        <v>658899108.01153851</v>
      </c>
      <c r="M95" s="272"/>
      <c r="N95" s="272"/>
      <c r="O95" s="272"/>
    </row>
    <row r="96" spans="2:15">
      <c r="B96" s="273">
        <f>+B95+1</f>
        <v>43</v>
      </c>
      <c r="C96" s="327"/>
      <c r="D96" s="269" t="str">
        <f>+D84</f>
        <v xml:space="preserve">  Distribution</v>
      </c>
      <c r="E96" s="272" t="str">
        <f>" (ln "&amp;B70&amp;" + ln "&amp;B71&amp;" - ln "&amp;B84&amp;" - ln "&amp;B85&amp;")"</f>
        <v xml:space="preserve"> (ln 23 + ln 24 - ln 34 - ln 35)</v>
      </c>
      <c r="F96" s="272"/>
      <c r="G96" s="285">
        <f>+G70+G71-G84-G85</f>
        <v>841875305.03461516</v>
      </c>
      <c r="H96" s="285"/>
      <c r="I96" s="286"/>
      <c r="J96" s="328"/>
      <c r="K96" s="272"/>
      <c r="L96" s="285">
        <f>+L70+L71-L84-L85</f>
        <v>0</v>
      </c>
      <c r="M96" s="272"/>
      <c r="O96" s="272"/>
    </row>
    <row r="97" spans="2:15">
      <c r="B97" s="273">
        <f t="shared" si="4"/>
        <v>44</v>
      </c>
      <c r="C97" s="327"/>
      <c r="D97" s="269" t="str">
        <f>+D86</f>
        <v xml:space="preserve">  General Plant   </v>
      </c>
      <c r="E97" s="272" t="str">
        <f>" (ln "&amp;B72&amp;" + ln "&amp;B73&amp;" - ln "&amp;B86&amp;" - ln "&amp;B87&amp;")"</f>
        <v xml:space="preserve"> (ln 25 + ln 26 - ln 36 - ln 37)</v>
      </c>
      <c r="F97" s="272"/>
      <c r="G97" s="285">
        <f>+G72+G73-G86-G87</f>
        <v>101970513.64923079</v>
      </c>
      <c r="H97" s="285"/>
      <c r="I97" s="286"/>
      <c r="J97" s="328"/>
      <c r="K97" s="272"/>
      <c r="L97" s="285">
        <f>+L72+L73-L86-L87</f>
        <v>11254838.841615425</v>
      </c>
      <c r="M97" s="272"/>
      <c r="N97" s="272"/>
      <c r="O97" s="272"/>
    </row>
    <row r="98" spans="2:15">
      <c r="B98" s="273">
        <f t="shared" si="4"/>
        <v>45</v>
      </c>
      <c r="C98" s="327"/>
      <c r="D98" s="269" t="str">
        <f>+D88</f>
        <v xml:space="preserve">  Intangible Plant</v>
      </c>
      <c r="E98" s="272" t="str">
        <f>" (ln "&amp;B74&amp;" - ln "&amp;B88&amp;")"</f>
        <v xml:space="preserve"> (ln 27 - ln 38)</v>
      </c>
      <c r="F98" s="272"/>
      <c r="G98" s="285">
        <f>+G74-G88</f>
        <v>1894612.2584615387</v>
      </c>
      <c r="H98" s="285"/>
      <c r="I98" s="286"/>
      <c r="J98" s="328"/>
      <c r="K98" s="272"/>
      <c r="L98" s="285">
        <f>+L74-L88</f>
        <v>209114.91835458163</v>
      </c>
      <c r="M98" s="272"/>
      <c r="N98" s="272"/>
      <c r="O98" s="272"/>
    </row>
    <row r="99" spans="2:15" ht="15.75" thickBot="1">
      <c r="B99" s="273" t="s">
        <v>1347</v>
      </c>
      <c r="C99" s="327"/>
      <c r="D99" s="269" t="s">
        <v>1335</v>
      </c>
      <c r="E99" s="272" t="str">
        <f>" (ln "&amp;B75&amp;" + ln "&amp;B76&amp;" - ln "&amp;B89&amp;" - ln "&amp;B90&amp;")"</f>
        <v xml:space="preserve"> (ln 27a + ln 27b - ln 38a - ln 38b)</v>
      </c>
      <c r="F99" s="272"/>
      <c r="G99" s="320">
        <f>+G75+G76-G89-G90</f>
        <v>0</v>
      </c>
      <c r="H99" s="285"/>
      <c r="I99" s="286"/>
      <c r="J99" s="328"/>
      <c r="K99" s="272"/>
      <c r="L99" s="320">
        <f>L75+L76-L89-L90</f>
        <v>0</v>
      </c>
      <c r="M99" s="272"/>
      <c r="N99" s="272"/>
      <c r="O99" s="272"/>
    </row>
    <row r="100" spans="2:15" ht="15.75">
      <c r="B100" s="273">
        <f>+B98+1</f>
        <v>46</v>
      </c>
      <c r="C100" s="327"/>
      <c r="D100" s="269" t="s">
        <v>46</v>
      </c>
      <c r="E100" s="269" t="str">
        <f>"(sum lns "&amp;B94&amp;" to "&amp;B98&amp;")"</f>
        <v>(sum lns 41 to 45)</v>
      </c>
      <c r="F100" s="272"/>
      <c r="G100" s="285">
        <f>SUM(G94:G99)</f>
        <v>2235846389.6569233</v>
      </c>
      <c r="H100" s="285"/>
      <c r="I100" s="308" t="s">
        <v>758</v>
      </c>
      <c r="J100" s="321">
        <f>+L100/G100</f>
        <v>0.29982518695050941</v>
      </c>
      <c r="K100" s="272"/>
      <c r="L100" s="285">
        <f>SUM(L94:L99)</f>
        <v>670363061.77150857</v>
      </c>
      <c r="M100" s="272"/>
      <c r="N100" s="272"/>
      <c r="O100" s="272"/>
    </row>
    <row r="101" spans="2:15">
      <c r="B101" s="273"/>
      <c r="C101" s="274"/>
      <c r="D101" s="269"/>
      <c r="E101" s="272"/>
      <c r="F101" s="272"/>
      <c r="G101" s="285"/>
      <c r="H101" s="285"/>
      <c r="I101" s="338"/>
      <c r="J101" s="331"/>
      <c r="K101" s="272"/>
      <c r="L101" s="285"/>
      <c r="M101" s="272"/>
      <c r="N101" s="272"/>
      <c r="O101" s="272"/>
    </row>
    <row r="102" spans="2:15">
      <c r="B102" s="273"/>
      <c r="C102" s="274"/>
      <c r="G102" s="4"/>
      <c r="H102" s="4"/>
      <c r="I102" s="81"/>
      <c r="J102" s="4"/>
      <c r="K102" s="4"/>
      <c r="L102" s="4"/>
      <c r="M102"/>
      <c r="N102" s="272"/>
      <c r="O102" s="272"/>
    </row>
    <row r="103" spans="2:15">
      <c r="B103" s="273">
        <f>+B100+1</f>
        <v>47</v>
      </c>
      <c r="C103" s="274"/>
      <c r="D103" s="269" t="s">
        <v>328</v>
      </c>
      <c r="E103" s="272" t="s">
        <v>305</v>
      </c>
      <c r="F103" s="286"/>
      <c r="G103" s="4"/>
      <c r="H103" s="4"/>
      <c r="I103" s="81"/>
      <c r="J103" s="4"/>
      <c r="K103" s="4"/>
      <c r="L103" s="4"/>
      <c r="M103"/>
      <c r="N103" s="272"/>
      <c r="O103" s="272"/>
    </row>
    <row r="104" spans="2:15">
      <c r="B104" s="273">
        <f t="shared" ref="B104:B109" si="5">+B103+1</f>
        <v>48</v>
      </c>
      <c r="C104" s="327"/>
      <c r="D104" s="269" t="s">
        <v>195</v>
      </c>
      <c r="E104" s="272" t="s">
        <v>538</v>
      </c>
      <c r="F104" s="272"/>
      <c r="G104" s="285">
        <f>-'WS B ADIT &amp; ITC'!I17</f>
        <v>-38144354.314999998</v>
      </c>
      <c r="H104" s="285"/>
      <c r="I104" s="286" t="s">
        <v>129</v>
      </c>
      <c r="J104" s="287"/>
      <c r="K104" s="272"/>
      <c r="L104" s="285">
        <f>'WS B ADIT &amp; ITC'!I20</f>
        <v>0</v>
      </c>
      <c r="M104" s="272"/>
      <c r="N104" s="272"/>
      <c r="O104" s="272"/>
    </row>
    <row r="105" spans="2:15">
      <c r="B105" s="273">
        <f t="shared" si="5"/>
        <v>49</v>
      </c>
      <c r="C105" s="327"/>
      <c r="D105" s="269" t="s">
        <v>196</v>
      </c>
      <c r="E105" s="272" t="s">
        <v>539</v>
      </c>
      <c r="F105" s="272"/>
      <c r="G105" s="285">
        <f>-'WS B ADIT &amp; ITC'!I25</f>
        <v>-327095316.66499996</v>
      </c>
      <c r="H105" s="285"/>
      <c r="I105" s="286" t="s">
        <v>131</v>
      </c>
      <c r="J105" s="287"/>
      <c r="K105" s="272"/>
      <c r="L105" s="285">
        <f>-'WS B ADIT &amp; ITC'!I28</f>
        <v>-94275619.187666297</v>
      </c>
      <c r="M105" s="272"/>
      <c r="N105" s="272"/>
      <c r="O105" s="272"/>
    </row>
    <row r="106" spans="2:15">
      <c r="B106" s="273">
        <f t="shared" si="5"/>
        <v>50</v>
      </c>
      <c r="C106" s="327"/>
      <c r="D106" s="269" t="s">
        <v>197</v>
      </c>
      <c r="E106" s="272" t="s">
        <v>540</v>
      </c>
      <c r="F106" s="272"/>
      <c r="G106" s="285">
        <f>-'WS B ADIT &amp; ITC'!I33</f>
        <v>-126606887.69</v>
      </c>
      <c r="H106" s="285"/>
      <c r="I106" s="286" t="s">
        <v>131</v>
      </c>
      <c r="J106" s="287"/>
      <c r="K106" s="272"/>
      <c r="L106" s="285">
        <f>-'WS B ADIT &amp; ITC'!I36</f>
        <v>-287870.57999998331</v>
      </c>
      <c r="M106" s="272"/>
      <c r="N106" s="272"/>
      <c r="O106" s="272"/>
    </row>
    <row r="107" spans="2:15">
      <c r="B107" s="273">
        <f t="shared" si="5"/>
        <v>51</v>
      </c>
      <c r="C107" s="327"/>
      <c r="D107" s="269" t="s">
        <v>198</v>
      </c>
      <c r="E107" s="272" t="s">
        <v>541</v>
      </c>
      <c r="F107" s="272"/>
      <c r="G107" s="285">
        <f>'WS B ADIT &amp; ITC'!I41</f>
        <v>35184677.060000002</v>
      </c>
      <c r="H107" s="285"/>
      <c r="I107" s="286" t="s">
        <v>131</v>
      </c>
      <c r="J107" s="287"/>
      <c r="K107" s="272"/>
      <c r="L107" s="285">
        <f>'WS B ADIT &amp; ITC'!I44</f>
        <v>14217495.996953018</v>
      </c>
      <c r="M107" s="272"/>
      <c r="N107" s="272"/>
      <c r="O107" s="272"/>
    </row>
    <row r="108" spans="2:15" ht="15.75" thickBot="1">
      <c r="B108" s="273">
        <f t="shared" si="5"/>
        <v>52</v>
      </c>
      <c r="C108" s="327"/>
      <c r="D108" s="265" t="s">
        <v>136</v>
      </c>
      <c r="E108" s="272" t="s">
        <v>542</v>
      </c>
      <c r="G108" s="320">
        <f>-'WS B ADIT &amp; ITC'!I51</f>
        <v>0</v>
      </c>
      <c r="H108" s="285"/>
      <c r="I108" s="286" t="s">
        <v>131</v>
      </c>
      <c r="J108" s="287"/>
      <c r="K108" s="272"/>
      <c r="L108" s="320">
        <f>-'WS B ADIT &amp; ITC'!I52</f>
        <v>0</v>
      </c>
      <c r="M108" s="332"/>
      <c r="N108" s="272"/>
      <c r="O108" s="272"/>
    </row>
    <row r="109" spans="2:15">
      <c r="B109" s="273">
        <f t="shared" si="5"/>
        <v>53</v>
      </c>
      <c r="C109" s="327"/>
      <c r="D109" s="269" t="s">
        <v>93</v>
      </c>
      <c r="E109" s="269" t="str">
        <f>"(sum lns "&amp;B104&amp;" to "&amp;B108&amp;")"</f>
        <v>(sum lns 48 to 52)</v>
      </c>
      <c r="F109" s="272"/>
      <c r="G109" s="285">
        <f>SUM(G104:G108)</f>
        <v>-456661881.60999995</v>
      </c>
      <c r="H109" s="4"/>
      <c r="I109" s="286"/>
      <c r="J109" s="333"/>
      <c r="K109" s="272"/>
      <c r="L109" s="285">
        <f>SUM(L104:L108)</f>
        <v>-80345993.77071327</v>
      </c>
      <c r="M109" s="272"/>
      <c r="N109" s="334"/>
    </row>
    <row r="110" spans="2:15">
      <c r="B110" s="273"/>
      <c r="C110" s="274"/>
      <c r="D110" s="269"/>
      <c r="E110" s="272"/>
      <c r="F110" s="272"/>
      <c r="G110" s="285"/>
      <c r="H110" s="4"/>
      <c r="I110" s="286"/>
      <c r="J110" s="328"/>
      <c r="K110" s="272"/>
      <c r="L110" s="285"/>
      <c r="M110" s="272"/>
    </row>
    <row r="111" spans="2:15">
      <c r="B111" s="273">
        <f>+B109+1</f>
        <v>54</v>
      </c>
      <c r="C111" s="274"/>
      <c r="D111" s="269" t="s">
        <v>207</v>
      </c>
      <c r="E111" s="272" t="str">
        <f>"(Worksheet A ln "&amp;'WS A - RB Support'!A69&amp;"."&amp;'WS A - RB Support'!F68&amp;" &amp; "&amp;"ln "&amp;'WS A - RB Support'!A71&amp;"."&amp;'WS A - RB Support'!F68&amp;")"</f>
        <v>(Worksheet A ln 44.(e) &amp; ln 45.(e))</v>
      </c>
      <c r="F111" s="272"/>
      <c r="G111" s="285">
        <f>'WS A - RB Support'!F69</f>
        <v>801671.21</v>
      </c>
      <c r="H111" s="4"/>
      <c r="I111" s="286" t="s">
        <v>131</v>
      </c>
      <c r="J111" s="287"/>
      <c r="K111" s="272"/>
      <c r="L111" s="285">
        <f>'WS A - RB Support'!F71</f>
        <v>0</v>
      </c>
      <c r="M111" s="272"/>
    </row>
    <row r="112" spans="2:15">
      <c r="B112" s="273"/>
      <c r="C112" s="274"/>
      <c r="D112" s="269"/>
      <c r="E112" s="272"/>
      <c r="F112" s="272"/>
      <c r="G112" s="285"/>
      <c r="H112" s="4"/>
      <c r="I112" s="286"/>
      <c r="J112" s="287"/>
      <c r="K112" s="272"/>
      <c r="L112" s="285"/>
      <c r="M112" s="272"/>
    </row>
    <row r="113" spans="2:13">
      <c r="B113" s="273">
        <f>+B111+1</f>
        <v>55</v>
      </c>
      <c r="C113" s="274"/>
      <c r="D113" s="269" t="s">
        <v>329</v>
      </c>
      <c r="E113" s="272" t="str">
        <f>"(Worksheet A ln "&amp;'WS A - RB Support'!A80&amp;"."&amp;'WS A - RB Support'!F68&amp;")"</f>
        <v>(Worksheet A ln 51.(e))</v>
      </c>
      <c r="F113" s="272"/>
      <c r="G113" s="285">
        <f>'WS A - RB Support'!F80</f>
        <v>0</v>
      </c>
      <c r="H113" s="4"/>
      <c r="I113" s="286" t="s">
        <v>131</v>
      </c>
      <c r="J113" s="272"/>
      <c r="K113" s="272"/>
      <c r="L113" s="285">
        <f>+G113</f>
        <v>0</v>
      </c>
      <c r="M113" s="272"/>
    </row>
    <row r="114" spans="2:13">
      <c r="B114" s="273"/>
      <c r="C114" s="274"/>
      <c r="D114" s="269"/>
      <c r="E114" s="272"/>
      <c r="F114" s="272"/>
      <c r="G114" s="285"/>
      <c r="H114" s="4"/>
      <c r="I114" s="286"/>
      <c r="J114" s="272"/>
      <c r="K114" s="272"/>
      <c r="L114" s="285"/>
      <c r="M114" s="272"/>
    </row>
    <row r="115" spans="2:13" ht="14.25" customHeight="1">
      <c r="B115" s="273">
        <f>+B113+1</f>
        <v>56</v>
      </c>
      <c r="C115" s="327"/>
      <c r="D115" s="281" t="s">
        <v>746</v>
      </c>
      <c r="E115" s="272" t="str">
        <f>"(Worksheet A ln "&amp;'WS A - RB Support'!A88&amp;"."&amp;'WS A - RB Support'!F68&amp;")"</f>
        <v>(Worksheet A ln 54.(e))</v>
      </c>
      <c r="F115" s="272"/>
      <c r="G115" s="285">
        <f>-'WS A - RB Support'!F88</f>
        <v>-1372943.1349999998</v>
      </c>
      <c r="H115" s="285"/>
      <c r="I115" s="286" t="s">
        <v>134</v>
      </c>
      <c r="J115" s="287">
        <f>L257</f>
        <v>0.11037346423821143</v>
      </c>
      <c r="K115" s="272"/>
      <c r="L115" s="285">
        <f>G115*J115</f>
        <v>-151536.49001202037</v>
      </c>
      <c r="M115" s="272"/>
    </row>
    <row r="116" spans="2:13">
      <c r="B116" s="273"/>
      <c r="C116" s="274"/>
      <c r="D116" s="269"/>
      <c r="E116" s="272"/>
      <c r="F116" s="272"/>
      <c r="G116" s="285"/>
      <c r="H116" s="4"/>
      <c r="I116" s="286"/>
      <c r="J116" s="272"/>
      <c r="K116" s="272"/>
      <c r="L116" s="285"/>
      <c r="M116" s="272"/>
    </row>
    <row r="117" spans="2:13">
      <c r="B117" s="273">
        <f>+B115+1</f>
        <v>57</v>
      </c>
      <c r="C117" s="274"/>
      <c r="D117" s="269" t="s">
        <v>94</v>
      </c>
      <c r="E117" s="272" t="s">
        <v>500</v>
      </c>
      <c r="F117" s="272"/>
      <c r="G117" s="285"/>
      <c r="H117" s="4"/>
      <c r="I117" s="286"/>
      <c r="J117" s="272"/>
      <c r="K117" s="272"/>
      <c r="L117" s="285"/>
      <c r="M117" s="272"/>
    </row>
    <row r="118" spans="2:13">
      <c r="B118" s="273">
        <f t="shared" ref="B118:B126" si="6">+B117+1</f>
        <v>58</v>
      </c>
      <c r="C118" s="327"/>
      <c r="D118" s="269" t="s">
        <v>206</v>
      </c>
      <c r="E118" s="265" t="str">
        <f>"(1/8 * ln "&amp;B155&amp;")"</f>
        <v>(1/8 * ln 78)</v>
      </c>
      <c r="G118" s="285">
        <f>+G155/8</f>
        <v>1390332.5949999969</v>
      </c>
      <c r="H118" s="272"/>
      <c r="I118" s="286"/>
      <c r="J118" s="328"/>
      <c r="K118" s="272"/>
      <c r="L118" s="285">
        <f>+L155/8</f>
        <v>1371737.8966155027</v>
      </c>
      <c r="M118" s="269"/>
    </row>
    <row r="119" spans="2:13">
      <c r="B119" s="273">
        <f t="shared" si="6"/>
        <v>59</v>
      </c>
      <c r="C119" s="327"/>
      <c r="D119" s="269" t="s">
        <v>337</v>
      </c>
      <c r="E119" s="272" t="s">
        <v>543</v>
      </c>
      <c r="F119" s="272"/>
      <c r="G119" s="285">
        <f>'WS C  - Working Capital'!I17</f>
        <v>23356</v>
      </c>
      <c r="H119" s="4"/>
      <c r="I119" s="286" t="s">
        <v>122</v>
      </c>
      <c r="J119" s="287">
        <f>L239</f>
        <v>0.98662571930531895</v>
      </c>
      <c r="K119" s="272"/>
      <c r="L119" s="285">
        <f>+J119*G119</f>
        <v>23043.630300095028</v>
      </c>
      <c r="M119" s="272"/>
    </row>
    <row r="120" spans="2:13">
      <c r="B120" s="273" t="s">
        <v>1348</v>
      </c>
      <c r="C120" s="327"/>
      <c r="D120" s="269" t="s">
        <v>1349</v>
      </c>
      <c r="E120" s="272" t="s">
        <v>1350</v>
      </c>
      <c r="F120" s="272"/>
      <c r="G120" s="285">
        <f>'WS C  - Working Capital'!I19</f>
        <v>0</v>
      </c>
      <c r="H120" s="208"/>
      <c r="I120" s="286" t="s">
        <v>1337</v>
      </c>
      <c r="J120" s="287">
        <f>L246</f>
        <v>1</v>
      </c>
      <c r="K120" s="272"/>
      <c r="L120" s="285">
        <f>+J120*G120</f>
        <v>0</v>
      </c>
      <c r="M120" s="272"/>
    </row>
    <row r="121" spans="2:13">
      <c r="B121" s="273">
        <f>+B119+1</f>
        <v>60</v>
      </c>
      <c r="C121" s="327"/>
      <c r="D121" s="269" t="s">
        <v>338</v>
      </c>
      <c r="E121" s="272" t="s">
        <v>544</v>
      </c>
      <c r="F121" s="272"/>
      <c r="G121" s="285">
        <f>'WS C  - Working Capital'!I21</f>
        <v>54023</v>
      </c>
      <c r="H121" s="4"/>
      <c r="I121" s="286" t="s">
        <v>134</v>
      </c>
      <c r="J121" s="287">
        <f>L257</f>
        <v>0.11037346423821143</v>
      </c>
      <c r="K121" s="272"/>
      <c r="L121" s="285">
        <f>+J121*G121</f>
        <v>5962.7056585408964</v>
      </c>
      <c r="M121" s="272"/>
    </row>
    <row r="122" spans="2:13">
      <c r="B122" s="273">
        <f t="shared" si="6"/>
        <v>61</v>
      </c>
      <c r="C122" s="327"/>
      <c r="D122" s="269" t="s">
        <v>531</v>
      </c>
      <c r="E122" s="272" t="s">
        <v>545</v>
      </c>
      <c r="F122" s="272"/>
      <c r="G122" s="285">
        <f>'WS C  - Working Capital'!I23</f>
        <v>0</v>
      </c>
      <c r="H122" s="4"/>
      <c r="I122" s="286" t="s">
        <v>757</v>
      </c>
      <c r="J122" s="287">
        <f>J77</f>
        <v>0.26925414997392272</v>
      </c>
      <c r="K122" s="272"/>
      <c r="L122" s="285">
        <f>+J122*G122</f>
        <v>0</v>
      </c>
      <c r="M122" s="272"/>
    </row>
    <row r="123" spans="2:13">
      <c r="B123" s="273">
        <f t="shared" si="6"/>
        <v>62</v>
      </c>
      <c r="C123" s="327"/>
      <c r="D123" s="269" t="s">
        <v>210</v>
      </c>
      <c r="E123" s="272" t="s">
        <v>574</v>
      </c>
      <c r="F123" s="272"/>
      <c r="G123" s="285">
        <f>'WS C  - Working Capital'!J33</f>
        <v>49747409.025000006</v>
      </c>
      <c r="H123" s="4"/>
      <c r="I123" s="286" t="s">
        <v>134</v>
      </c>
      <c r="J123" s="287">
        <f>L257</f>
        <v>0.11037346423821143</v>
      </c>
      <c r="K123" s="272"/>
      <c r="L123" s="285">
        <f>+J123*G123</f>
        <v>5490793.870964515</v>
      </c>
      <c r="M123" s="272"/>
    </row>
    <row r="124" spans="2:13">
      <c r="B124" s="273">
        <f t="shared" si="6"/>
        <v>63</v>
      </c>
      <c r="C124" s="327"/>
      <c r="D124" s="269" t="s">
        <v>211</v>
      </c>
      <c r="E124" s="272" t="s">
        <v>573</v>
      </c>
      <c r="F124" s="272"/>
      <c r="G124" s="285">
        <f>'WS C  - Working Capital'!I33</f>
        <v>1180503.2215</v>
      </c>
      <c r="H124" s="4"/>
      <c r="I124" s="286" t="s">
        <v>757</v>
      </c>
      <c r="J124" s="287">
        <f>J77</f>
        <v>0.26925414997392272</v>
      </c>
      <c r="K124" s="272"/>
      <c r="L124" s="285">
        <f>+G124*J124</f>
        <v>317855.39144645992</v>
      </c>
      <c r="M124" s="272"/>
    </row>
    <row r="125" spans="2:13">
      <c r="B125" s="273">
        <f t="shared" si="6"/>
        <v>64</v>
      </c>
      <c r="C125" s="327"/>
      <c r="D125" s="269" t="s">
        <v>307</v>
      </c>
      <c r="E125" s="272" t="s">
        <v>575</v>
      </c>
      <c r="F125" s="272"/>
      <c r="G125" s="285">
        <f>'WS C  - Working Capital'!G33</f>
        <v>0</v>
      </c>
      <c r="H125" s="4"/>
      <c r="I125" s="286" t="s">
        <v>131</v>
      </c>
      <c r="J125" s="287">
        <v>1</v>
      </c>
      <c r="K125" s="272"/>
      <c r="L125" s="285">
        <f>+G125*J125</f>
        <v>0</v>
      </c>
      <c r="M125" s="272"/>
    </row>
    <row r="126" spans="2:13" ht="15.75" thickBot="1">
      <c r="B126" s="273">
        <f t="shared" si="6"/>
        <v>65</v>
      </c>
      <c r="C126" s="327"/>
      <c r="D126" s="269" t="s">
        <v>106</v>
      </c>
      <c r="E126" s="272" t="s">
        <v>576</v>
      </c>
      <c r="F126" s="272"/>
      <c r="G126" s="320">
        <f>'WS C  - Working Capital'!E33</f>
        <v>-48637995.325000003</v>
      </c>
      <c r="H126" s="285"/>
      <c r="I126" s="286" t="s">
        <v>129</v>
      </c>
      <c r="J126" s="287">
        <v>0</v>
      </c>
      <c r="K126" s="272"/>
      <c r="L126" s="320">
        <f>+G126*J126</f>
        <v>0</v>
      </c>
      <c r="M126" s="272"/>
    </row>
    <row r="127" spans="2:13">
      <c r="B127" s="273">
        <f>+B126+1</f>
        <v>66</v>
      </c>
      <c r="C127" s="327"/>
      <c r="D127" s="269" t="s">
        <v>45</v>
      </c>
      <c r="E127" s="269" t="str">
        <f>"(sum lns "&amp;B118&amp;" to "&amp;B126&amp;")"</f>
        <v>(sum lns 58 to 65)</v>
      </c>
      <c r="F127" s="269"/>
      <c r="G127" s="285">
        <f>SUM(G118:G126)</f>
        <v>3757628.5165000036</v>
      </c>
      <c r="H127" s="269"/>
      <c r="I127" s="274"/>
      <c r="J127" s="269"/>
      <c r="K127" s="269"/>
      <c r="L127" s="285">
        <f>SUM(L118:L126)</f>
        <v>7209393.4949851139</v>
      </c>
      <c r="M127" s="269"/>
    </row>
    <row r="128" spans="2:13">
      <c r="B128" s="273"/>
      <c r="C128" s="274"/>
      <c r="D128" s="269"/>
      <c r="E128" s="269"/>
      <c r="F128" s="269"/>
      <c r="G128" s="285"/>
      <c r="H128" s="269"/>
      <c r="I128" s="274"/>
      <c r="J128" s="269"/>
      <c r="K128" s="269"/>
      <c r="L128" s="285"/>
      <c r="M128" s="269"/>
    </row>
    <row r="129" spans="2:15">
      <c r="B129" s="273">
        <f>+B127+1</f>
        <v>67</v>
      </c>
      <c r="C129" s="274"/>
      <c r="D129" s="269" t="s">
        <v>32</v>
      </c>
      <c r="E129" s="269" t="s">
        <v>546</v>
      </c>
      <c r="F129" s="269"/>
      <c r="G129" s="285">
        <f>+'WS D IPP Credits'!C23</f>
        <v>0</v>
      </c>
      <c r="H129" s="269"/>
      <c r="I129" s="335" t="s">
        <v>131</v>
      </c>
      <c r="J129" s="287">
        <v>1</v>
      </c>
      <c r="K129" s="272"/>
      <c r="L129" s="285">
        <f>+J129*G129</f>
        <v>0</v>
      </c>
      <c r="M129" s="269"/>
    </row>
    <row r="130" spans="2:15" ht="15.75" thickBot="1">
      <c r="B130" s="273"/>
      <c r="E130" s="272"/>
      <c r="F130" s="272"/>
      <c r="G130" s="320"/>
      <c r="H130" s="272"/>
      <c r="I130" s="286"/>
      <c r="J130" s="272"/>
      <c r="K130" s="272"/>
      <c r="L130" s="320"/>
      <c r="M130" s="272"/>
    </row>
    <row r="131" spans="2:15" ht="15.75" thickBot="1">
      <c r="B131" s="273">
        <f>+B129+1</f>
        <v>68</v>
      </c>
      <c r="C131" s="274"/>
      <c r="D131" s="269" t="str">
        <f>"RATE BASE  (sum lns "&amp;B100&amp;", "&amp;B109&amp;", "&amp;B111&amp;", "&amp;B113&amp;", "&amp;B115&amp;", "&amp;B127&amp;", "&amp;B129&amp;")"</f>
        <v>RATE BASE  (sum lns 46, 53, 54, 55, 56, 66, 67)</v>
      </c>
      <c r="E131" s="272"/>
      <c r="F131" s="272"/>
      <c r="G131" s="851">
        <f>+G127+G111+G109+G100+G129+G113+G115</f>
        <v>1782370864.6384232</v>
      </c>
      <c r="H131" s="272"/>
      <c r="I131" s="272"/>
      <c r="J131" s="328"/>
      <c r="K131" s="272"/>
      <c r="L131" s="851">
        <f>+L127+L111+L109+L100+L129+L113+L115</f>
        <v>597074925.00576842</v>
      </c>
      <c r="M131" s="272"/>
    </row>
    <row r="132" spans="2:15" ht="16.5" thickTop="1">
      <c r="B132" s="273"/>
      <c r="C132" s="72"/>
      <c r="D132" s="72"/>
      <c r="E132" s="72"/>
      <c r="F132" s="72"/>
      <c r="G132" s="72"/>
      <c r="H132" s="72"/>
      <c r="I132" s="268"/>
      <c r="J132" s="268"/>
      <c r="K132" s="268"/>
      <c r="L132" s="820"/>
    </row>
    <row r="133" spans="2:15">
      <c r="B133" s="336"/>
      <c r="C133" s="274"/>
      <c r="D133" s="269"/>
      <c r="E133" s="272"/>
      <c r="F133" s="272"/>
      <c r="G133" s="272"/>
      <c r="H133" s="272"/>
      <c r="I133" s="272"/>
      <c r="J133" s="272"/>
      <c r="K133" s="272"/>
      <c r="L133" s="272"/>
      <c r="M133" s="272"/>
    </row>
    <row r="134" spans="2:15">
      <c r="B134" s="336"/>
      <c r="C134" s="274"/>
      <c r="D134" s="269"/>
      <c r="E134" s="272"/>
      <c r="F134" s="286" t="str">
        <f>F54</f>
        <v xml:space="preserve">AEP East Companies </v>
      </c>
      <c r="G134" s="286"/>
      <c r="H134" s="272"/>
      <c r="I134" s="272"/>
      <c r="J134" s="272"/>
      <c r="K134" s="272"/>
      <c r="L134" s="272"/>
      <c r="M134" s="337"/>
    </row>
    <row r="135" spans="2:15">
      <c r="B135" s="336"/>
      <c r="C135" s="274"/>
      <c r="D135" s="269"/>
      <c r="E135" s="272"/>
      <c r="F135" s="286" t="str">
        <f>F55</f>
        <v>Transmission Cost of Service Formula Rate</v>
      </c>
      <c r="G135" s="286"/>
      <c r="H135" s="272"/>
      <c r="I135" s="272"/>
      <c r="J135" s="272"/>
      <c r="K135" s="272"/>
      <c r="L135" s="272"/>
      <c r="M135" s="337"/>
    </row>
    <row r="136" spans="2:15">
      <c r="B136" s="336"/>
      <c r="C136" s="274"/>
      <c r="E136" s="272"/>
      <c r="F136" s="286" t="str">
        <f>F56</f>
        <v>Utilizing  Actual/Projected FERC Form 1 Data</v>
      </c>
      <c r="G136" s="272"/>
      <c r="H136" s="272"/>
      <c r="I136" s="272"/>
      <c r="J136" s="272"/>
      <c r="K136" s="272"/>
      <c r="L136" s="272"/>
      <c r="M136" s="304"/>
    </row>
    <row r="137" spans="2:15">
      <c r="B137" s="336"/>
      <c r="C137" s="274"/>
      <c r="E137" s="272"/>
      <c r="F137" s="286"/>
      <c r="G137" s="272"/>
      <c r="H137" s="272"/>
      <c r="I137" s="272"/>
      <c r="J137" s="272"/>
      <c r="K137" s="272"/>
      <c r="L137" s="272"/>
      <c r="M137" s="272"/>
    </row>
    <row r="138" spans="2:15">
      <c r="B138" s="336"/>
      <c r="C138" s="274"/>
      <c r="E138" s="338"/>
      <c r="F138" s="286" t="str">
        <f>F58</f>
        <v>KENTUCKY POWER COMPANY</v>
      </c>
      <c r="G138" s="338"/>
      <c r="H138" s="338"/>
      <c r="I138" s="338"/>
      <c r="J138" s="338"/>
      <c r="K138" s="338"/>
      <c r="M138" s="272"/>
    </row>
    <row r="139" spans="2:15">
      <c r="B139" s="336"/>
      <c r="C139" s="274"/>
      <c r="E139" s="338"/>
      <c r="F139" s="286"/>
      <c r="G139" s="338"/>
      <c r="H139" s="338"/>
      <c r="I139" s="338"/>
      <c r="J139" s="338"/>
      <c r="K139" s="338"/>
      <c r="M139" s="272"/>
    </row>
    <row r="140" spans="2:15">
      <c r="B140" s="336"/>
      <c r="D140" s="274" t="s">
        <v>123</v>
      </c>
      <c r="E140" s="274" t="s">
        <v>124</v>
      </c>
      <c r="F140" s="274"/>
      <c r="G140" s="274" t="s">
        <v>125</v>
      </c>
      <c r="H140" s="272"/>
      <c r="I140" s="1185" t="s">
        <v>126</v>
      </c>
      <c r="J140" s="1189"/>
      <c r="K140" s="272"/>
      <c r="L140" s="275" t="s">
        <v>127</v>
      </c>
      <c r="M140" s="272"/>
      <c r="N140" s="275"/>
    </row>
    <row r="141" spans="2:15" ht="15.75">
      <c r="B141" s="336"/>
      <c r="D141" s="274"/>
      <c r="E141" s="274"/>
      <c r="F141" s="274"/>
      <c r="G141" s="274"/>
      <c r="H141" s="272"/>
      <c r="I141" s="272"/>
      <c r="J141" s="306"/>
      <c r="K141" s="272"/>
      <c r="M141" s="272"/>
      <c r="N141" s="339"/>
      <c r="O141" s="268"/>
    </row>
    <row r="142" spans="2:15" ht="15.75">
      <c r="B142" s="336"/>
      <c r="C142" s="274"/>
      <c r="D142" s="339" t="s">
        <v>102</v>
      </c>
      <c r="E142" s="308" t="str">
        <f>E62</f>
        <v>Data Sources</v>
      </c>
      <c r="F142" s="309"/>
      <c r="G142" s="272"/>
      <c r="H142" s="272"/>
      <c r="I142" s="272"/>
      <c r="J142" s="274"/>
      <c r="K142" s="272"/>
      <c r="L142" s="308" t="str">
        <f>L62</f>
        <v>Total</v>
      </c>
      <c r="N142" s="339"/>
      <c r="O142" s="268"/>
    </row>
    <row r="143" spans="2:15" ht="15.75">
      <c r="B143" s="336"/>
      <c r="C143" s="274"/>
      <c r="D143" s="311" t="s">
        <v>103</v>
      </c>
      <c r="E143" s="340" t="str">
        <f>E63</f>
        <v>(See "General Notes")</v>
      </c>
      <c r="F143" s="272"/>
      <c r="G143" s="340" t="str">
        <f>G63</f>
        <v>TO Total</v>
      </c>
      <c r="H143" s="313"/>
      <c r="I143" s="1187" t="str">
        <f>I63</f>
        <v>Allocator</v>
      </c>
      <c r="J143" s="1188"/>
      <c r="K143" s="313"/>
      <c r="L143" s="340" t="str">
        <f>L63</f>
        <v>Transmission</v>
      </c>
      <c r="M143" s="272"/>
      <c r="N143" s="339"/>
      <c r="O143" s="268"/>
    </row>
    <row r="144" spans="2:15" ht="15.75">
      <c r="B144" s="273" t="str">
        <f>B64</f>
        <v>Line</v>
      </c>
      <c r="D144" s="269"/>
      <c r="E144" s="272"/>
      <c r="F144" s="272"/>
      <c r="G144" s="311"/>
      <c r="H144" s="341"/>
      <c r="I144" s="339"/>
      <c r="K144" s="341"/>
      <c r="L144" s="311"/>
      <c r="M144" s="272"/>
    </row>
    <row r="145" spans="2:15">
      <c r="B145" s="273" t="str">
        <f>B65</f>
        <v>No.</v>
      </c>
      <c r="C145" s="274"/>
      <c r="D145" s="269" t="s">
        <v>104</v>
      </c>
      <c r="E145" s="272"/>
      <c r="F145" s="272"/>
      <c r="G145" s="272"/>
      <c r="H145" s="272"/>
      <c r="I145" s="286"/>
      <c r="J145" s="272"/>
      <c r="K145" s="272"/>
      <c r="L145" s="272"/>
      <c r="M145" s="272"/>
    </row>
    <row r="146" spans="2:15">
      <c r="B146" s="273">
        <f>+B131+1</f>
        <v>69</v>
      </c>
      <c r="C146" s="274"/>
      <c r="D146" s="269" t="s">
        <v>128</v>
      </c>
      <c r="E146" s="272" t="s">
        <v>10</v>
      </c>
      <c r="F146" s="272"/>
      <c r="G146" s="660">
        <v>325582324</v>
      </c>
      <c r="H146" s="272"/>
      <c r="I146" s="286"/>
      <c r="J146" s="287"/>
      <c r="K146" s="272"/>
      <c r="L146" s="285"/>
      <c r="M146" s="272"/>
    </row>
    <row r="147" spans="2:15">
      <c r="B147" s="273">
        <f>+B146+1</f>
        <v>70</v>
      </c>
      <c r="C147" s="274"/>
      <c r="D147" s="269" t="s">
        <v>132</v>
      </c>
      <c r="E147" s="272" t="s">
        <v>11</v>
      </c>
      <c r="F147" s="272"/>
      <c r="G147" s="660">
        <v>44155823</v>
      </c>
      <c r="H147" s="272"/>
      <c r="I147" s="286"/>
      <c r="J147" s="287"/>
      <c r="K147" s="272"/>
      <c r="L147" s="285"/>
      <c r="M147" s="272"/>
    </row>
    <row r="148" spans="2:15">
      <c r="B148" s="273">
        <f t="shared" ref="B148:B153" si="7">+B147+1</f>
        <v>71</v>
      </c>
      <c r="C148" s="274"/>
      <c r="D148" s="269" t="s">
        <v>248</v>
      </c>
      <c r="E148" s="272" t="s">
        <v>204</v>
      </c>
      <c r="F148" s="272"/>
      <c r="G148" s="660">
        <f>5352622+2537859+16664</f>
        <v>7907145</v>
      </c>
      <c r="H148" s="272"/>
      <c r="I148" s="286"/>
      <c r="J148" s="287"/>
      <c r="K148" s="272"/>
      <c r="L148" s="285"/>
      <c r="M148" s="272"/>
    </row>
    <row r="149" spans="2:15">
      <c r="B149" s="273">
        <f t="shared" si="7"/>
        <v>72</v>
      </c>
      <c r="C149" s="274"/>
      <c r="D149" s="269" t="s">
        <v>249</v>
      </c>
      <c r="E149" s="272" t="s">
        <v>419</v>
      </c>
      <c r="F149" s="272"/>
      <c r="G149" s="660">
        <v>1392419</v>
      </c>
      <c r="H149" s="272"/>
      <c r="I149" s="286"/>
      <c r="J149" s="287"/>
      <c r="K149" s="272"/>
      <c r="L149" s="285"/>
      <c r="M149" s="272"/>
    </row>
    <row r="150" spans="2:15" ht="15.75" thickBot="1">
      <c r="B150" s="273">
        <f t="shared" si="7"/>
        <v>73</v>
      </c>
      <c r="C150" s="274"/>
      <c r="D150" s="269" t="s">
        <v>137</v>
      </c>
      <c r="E150" s="272" t="s">
        <v>418</v>
      </c>
      <c r="F150" s="272"/>
      <c r="G150" s="1034">
        <v>100340998</v>
      </c>
      <c r="H150" s="285"/>
      <c r="I150" s="72"/>
      <c r="J150" s="72"/>
      <c r="K150"/>
      <c r="L150"/>
      <c r="M150" s="269"/>
      <c r="N150" s="272"/>
      <c r="O150" s="272"/>
    </row>
    <row r="151" spans="2:15">
      <c r="B151" s="273">
        <f t="shared" si="7"/>
        <v>74</v>
      </c>
      <c r="C151" s="274"/>
      <c r="D151" s="269" t="s">
        <v>250</v>
      </c>
      <c r="E151" s="272" t="str">
        <f>"(sum lns "&amp;B146&amp;"  to "&amp;B150&amp;")"</f>
        <v>(sum lns 69  to 73)</v>
      </c>
      <c r="F151" s="272"/>
      <c r="G151" s="285">
        <f>SUM(G146:G150)</f>
        <v>479378709</v>
      </c>
      <c r="H151" s="285"/>
      <c r="I151" s="72"/>
      <c r="J151" s="72"/>
      <c r="K151"/>
      <c r="L151"/>
      <c r="M151" s="269"/>
      <c r="N151" s="272"/>
      <c r="O151" s="272"/>
    </row>
    <row r="152" spans="2:15">
      <c r="B152" s="273">
        <f t="shared" si="7"/>
        <v>75</v>
      </c>
      <c r="C152" s="274"/>
      <c r="D152" s="269" t="s">
        <v>330</v>
      </c>
      <c r="E152" s="272" t="str">
        <f>"(Note G) (Worksheet F, ln "&amp;'WS F Misc Exp'!A33&amp;".C)"</f>
        <v>(Note G) (Worksheet F, ln 14.C)</v>
      </c>
      <c r="F152" s="272"/>
      <c r="G152" s="285">
        <f>'WS F Misc Exp'!D33</f>
        <v>2622788.6800000002</v>
      </c>
      <c r="H152" s="285"/>
      <c r="I152" s="72"/>
      <c r="J152" s="72"/>
      <c r="K152"/>
      <c r="L152"/>
      <c r="M152" s="269"/>
      <c r="N152" s="272"/>
      <c r="O152" s="272"/>
    </row>
    <row r="153" spans="2:15">
      <c r="B153" s="273">
        <f t="shared" si="7"/>
        <v>76</v>
      </c>
      <c r="C153" s="274"/>
      <c r="D153" s="269" t="s">
        <v>23</v>
      </c>
      <c r="E153" s="272" t="s">
        <v>101</v>
      </c>
      <c r="F153" s="272"/>
      <c r="G153" s="660">
        <v>86595548.560000017</v>
      </c>
      <c r="H153" s="285"/>
      <c r="I153" s="72"/>
      <c r="J153" s="72"/>
      <c r="K153"/>
      <c r="L153"/>
      <c r="M153" s="269"/>
      <c r="N153" s="272"/>
      <c r="O153" s="272"/>
    </row>
    <row r="154" spans="2:15" ht="15.75" thickBot="1">
      <c r="B154" s="273">
        <f>+B153+1</f>
        <v>77</v>
      </c>
      <c r="C154" s="274"/>
      <c r="D154" s="269" t="s">
        <v>334</v>
      </c>
      <c r="E154" s="272" t="s">
        <v>482</v>
      </c>
      <c r="F154" s="272"/>
      <c r="G154" s="320">
        <f>+'WS F Misc Exp'!D21</f>
        <v>0</v>
      </c>
      <c r="H154" s="285"/>
      <c r="I154" s="72"/>
      <c r="J154" s="72"/>
      <c r="K154"/>
      <c r="L154"/>
      <c r="M154" s="269"/>
      <c r="N154" s="272"/>
      <c r="O154" s="272"/>
    </row>
    <row r="155" spans="2:15">
      <c r="B155" s="273">
        <f>+B154+1</f>
        <v>78</v>
      </c>
      <c r="C155" s="274"/>
      <c r="D155" s="269" t="s">
        <v>386</v>
      </c>
      <c r="E155" s="272" t="str">
        <f>"(lns "&amp;B150&amp;" - "&amp;B152&amp;" - "&amp;B153&amp;" - "&amp;B154&amp;")"</f>
        <v>(lns 73 - 75 - 76 - 77)</v>
      </c>
      <c r="F155" s="269"/>
      <c r="G155" s="285">
        <f>G150-G152-G153-G154</f>
        <v>11122660.759999976</v>
      </c>
      <c r="H155" s="272"/>
      <c r="I155" s="286" t="s">
        <v>122</v>
      </c>
      <c r="J155" s="287">
        <f>L239</f>
        <v>0.98662571930531895</v>
      </c>
      <c r="K155" s="272"/>
      <c r="L155" s="285">
        <f>+J155*G155</f>
        <v>10973903.172924021</v>
      </c>
      <c r="M155" s="269"/>
      <c r="N155" s="272"/>
      <c r="O155" s="272"/>
    </row>
    <row r="156" spans="2:15">
      <c r="B156" s="273"/>
      <c r="C156" s="274"/>
      <c r="D156" s="269"/>
      <c r="E156" s="272"/>
      <c r="F156" s="272"/>
      <c r="G156" s="72"/>
      <c r="H156" s="285"/>
      <c r="I156" s="72"/>
      <c r="J156" s="72"/>
      <c r="K156"/>
      <c r="L156"/>
      <c r="M156" s="269"/>
      <c r="N156" s="272"/>
      <c r="O156" s="272"/>
    </row>
    <row r="157" spans="2:15">
      <c r="B157" s="273">
        <f>+B155+1</f>
        <v>79</v>
      </c>
      <c r="C157" s="274"/>
      <c r="D157" s="269" t="s">
        <v>105</v>
      </c>
      <c r="E157" s="272" t="s">
        <v>748</v>
      </c>
      <c r="F157" s="272"/>
      <c r="G157" s="660">
        <v>22583168</v>
      </c>
      <c r="H157" s="285"/>
      <c r="I157" s="326"/>
      <c r="J157" s="326"/>
      <c r="K157" s="272"/>
      <c r="L157" s="285"/>
      <c r="M157" s="272"/>
      <c r="N157" s="272"/>
      <c r="O157" s="272"/>
    </row>
    <row r="158" spans="2:15">
      <c r="B158" s="273">
        <f t="shared" ref="B158:B172" si="8">+B157+1</f>
        <v>80</v>
      </c>
      <c r="C158" s="274"/>
      <c r="D158" s="269" t="s">
        <v>332</v>
      </c>
      <c r="E158" s="272" t="s">
        <v>420</v>
      </c>
      <c r="F158" s="272"/>
      <c r="G158" s="660">
        <v>1076384.6200000001</v>
      </c>
      <c r="H158" s="285"/>
      <c r="I158" s="326"/>
      <c r="J158" s="269"/>
      <c r="K158" s="272"/>
      <c r="L158" s="285"/>
      <c r="M158"/>
      <c r="N158" s="272"/>
      <c r="O158" s="272"/>
    </row>
    <row r="159" spans="2:15">
      <c r="B159" s="273">
        <f t="shared" si="8"/>
        <v>81</v>
      </c>
      <c r="C159" s="274"/>
      <c r="D159" s="942" t="s">
        <v>855</v>
      </c>
      <c r="E159" s="272" t="str">
        <f>"PBOP Worksheet O Line "&amp;'WS O - PBOP'!A37&amp;" &amp; "&amp;'WS O - PBOP'!A39&amp;", (Note K)"</f>
        <v>PBOP Worksheet O Line 9 &amp; 10, (Note K)</v>
      </c>
      <c r="F159" s="272"/>
      <c r="G159" s="943">
        <f>'WS O - PBOP'!G37+'WS O - PBOP'!G39</f>
        <v>-2803250.1499999976</v>
      </c>
      <c r="H159" s="285"/>
      <c r="I159" s="326"/>
      <c r="J159" s="269"/>
      <c r="K159" s="272"/>
      <c r="L159" s="285"/>
      <c r="M159"/>
      <c r="N159" s="272"/>
      <c r="O159" s="272"/>
    </row>
    <row r="160" spans="2:15">
      <c r="B160" s="273">
        <f t="shared" si="8"/>
        <v>82</v>
      </c>
      <c r="C160" s="274"/>
      <c r="D160" s="269" t="s">
        <v>856</v>
      </c>
      <c r="E160" s="272" t="str">
        <f>"PBOP Worksheet O  Line "&amp;'WS O - PBOP'!A41&amp;", (Note K)"</f>
        <v>PBOP Worksheet O  Line 11, (Note K)</v>
      </c>
      <c r="F160" s="272"/>
      <c r="G160" s="943">
        <f>'WS O - PBOP'!G41</f>
        <v>0</v>
      </c>
      <c r="H160" s="285"/>
      <c r="I160" s="326"/>
      <c r="J160" s="269"/>
      <c r="K160" s="272"/>
      <c r="L160" s="285"/>
      <c r="M160"/>
      <c r="N160" s="272"/>
      <c r="O160" s="272"/>
    </row>
    <row r="161" spans="2:15">
      <c r="B161" s="273">
        <f t="shared" si="8"/>
        <v>83</v>
      </c>
      <c r="C161" s="274"/>
      <c r="D161" s="269" t="s">
        <v>857</v>
      </c>
      <c r="E161" s="272" t="str">
        <f>"PBOP Worksheet O Line "&amp;'WS O - PBOP'!A45&amp;", (Note K)"</f>
        <v>PBOP Worksheet O Line 13, (Note K)</v>
      </c>
      <c r="F161" s="272"/>
      <c r="G161" s="943">
        <f>'WS O - PBOP'!G45</f>
        <v>-671289.21441354265</v>
      </c>
      <c r="H161" s="285"/>
      <c r="I161" s="326"/>
      <c r="J161" s="269"/>
      <c r="K161" s="272"/>
      <c r="L161" s="285"/>
      <c r="M161"/>
      <c r="N161" s="272"/>
      <c r="O161" s="272"/>
    </row>
    <row r="162" spans="2:15">
      <c r="B162" s="273">
        <f t="shared" si="8"/>
        <v>84</v>
      </c>
      <c r="C162" s="274"/>
      <c r="D162" s="269" t="s">
        <v>331</v>
      </c>
      <c r="E162" s="272" t="s">
        <v>97</v>
      </c>
      <c r="F162" s="272"/>
      <c r="G162" s="660">
        <f>'WS F Misc Exp'!D44</f>
        <v>3489508.9200000004</v>
      </c>
      <c r="H162" s="285"/>
      <c r="I162" s="326"/>
      <c r="J162" s="342"/>
      <c r="K162" s="272"/>
      <c r="L162" s="285"/>
      <c r="M162" s="272"/>
      <c r="N162" s="272"/>
      <c r="O162" s="272"/>
    </row>
    <row r="163" spans="2:15">
      <c r="B163" s="273">
        <f t="shared" si="8"/>
        <v>85</v>
      </c>
      <c r="C163" s="274"/>
      <c r="D163" s="269" t="s">
        <v>109</v>
      </c>
      <c r="E163" s="272" t="s">
        <v>98</v>
      </c>
      <c r="F163" s="272"/>
      <c r="G163" s="660">
        <f>'WS F Misc Exp'!D63</f>
        <v>103224.38</v>
      </c>
      <c r="H163" s="285"/>
      <c r="I163" s="326"/>
      <c r="J163" s="326"/>
      <c r="K163" s="272"/>
      <c r="L163" s="285"/>
      <c r="M163" s="272"/>
      <c r="N163" s="272"/>
      <c r="O163" s="272"/>
    </row>
    <row r="164" spans="2:15" ht="15.75" thickBot="1">
      <c r="B164" s="273">
        <f t="shared" si="8"/>
        <v>86</v>
      </c>
      <c r="C164" s="274"/>
      <c r="D164" s="269" t="s">
        <v>333</v>
      </c>
      <c r="E164" s="272" t="s">
        <v>99</v>
      </c>
      <c r="F164" s="272"/>
      <c r="G164" s="1034">
        <f>'WS F Misc Exp'!D73</f>
        <v>728353.97</v>
      </c>
      <c r="H164" s="285"/>
      <c r="I164" s="326"/>
      <c r="J164" s="326"/>
      <c r="K164" s="272"/>
      <c r="L164" s="285"/>
      <c r="M164" s="272"/>
      <c r="N164" s="272"/>
      <c r="O164" s="272"/>
    </row>
    <row r="165" spans="2:15">
      <c r="B165" s="273">
        <f t="shared" si="8"/>
        <v>87</v>
      </c>
      <c r="C165" s="274"/>
      <c r="D165" s="269" t="s">
        <v>110</v>
      </c>
      <c r="E165" s="272" t="str">
        <f>"(ln "&amp;B157&amp;" - sum ln "&amp;B158&amp;"  to ln "&amp;B164&amp;")"</f>
        <v>(ln 79 - sum ln 80  to ln 86)</v>
      </c>
      <c r="F165" s="272"/>
      <c r="G165" s="285">
        <f>G157-SUM(G158:G164)</f>
        <v>20660235.47441354</v>
      </c>
      <c r="H165" s="285"/>
      <c r="I165" s="286" t="s">
        <v>134</v>
      </c>
      <c r="J165" s="287">
        <f>L257</f>
        <v>0.11037346423821143</v>
      </c>
      <c r="K165" s="272"/>
      <c r="L165" s="285">
        <f>+J165*G165</f>
        <v>2280341.7612882098</v>
      </c>
      <c r="M165" s="272"/>
      <c r="N165" s="272"/>
      <c r="O165" s="272"/>
    </row>
    <row r="166" spans="2:15">
      <c r="B166" s="273" t="s">
        <v>1351</v>
      </c>
      <c r="C166" s="274"/>
      <c r="D166" s="269" t="s">
        <v>1335</v>
      </c>
      <c r="E166" s="272" t="s">
        <v>1352</v>
      </c>
      <c r="F166" s="272"/>
      <c r="G166" s="1144">
        <v>0</v>
      </c>
      <c r="H166" s="285"/>
      <c r="I166" s="286" t="s">
        <v>1337</v>
      </c>
      <c r="J166" s="287">
        <f>L246</f>
        <v>1</v>
      </c>
      <c r="K166" s="272"/>
      <c r="L166" s="285">
        <f>+J166*G166</f>
        <v>0</v>
      </c>
      <c r="M166" s="272"/>
      <c r="N166" s="272"/>
      <c r="O166" s="272"/>
    </row>
    <row r="167" spans="2:15">
      <c r="B167" s="273">
        <f>+B165+1</f>
        <v>88</v>
      </c>
      <c r="C167" s="274"/>
      <c r="D167" s="269" t="s">
        <v>199</v>
      </c>
      <c r="E167" s="272" t="str">
        <f>"(ln "&amp;B158&amp;")"</f>
        <v>(ln 80)</v>
      </c>
      <c r="F167" s="272"/>
      <c r="G167" s="285">
        <f>+G158</f>
        <v>1076384.6200000001</v>
      </c>
      <c r="H167" s="285"/>
      <c r="I167" s="286" t="s">
        <v>757</v>
      </c>
      <c r="J167" s="287">
        <f>J77</f>
        <v>0.26925414997392272</v>
      </c>
      <c r="K167" s="272"/>
      <c r="L167" s="285">
        <f>+J167*G167</f>
        <v>289821.02590310387</v>
      </c>
      <c r="M167" s="272"/>
      <c r="N167" s="272"/>
      <c r="O167" s="272"/>
    </row>
    <row r="168" spans="2:15">
      <c r="B168" s="273">
        <f t="shared" si="8"/>
        <v>89</v>
      </c>
      <c r="C168" s="274"/>
      <c r="D168" s="269" t="s">
        <v>232</v>
      </c>
      <c r="E168" s="272" t="str">
        <f>"Worksheet F ln "&amp;'WS F Misc Exp'!A44&amp;".(E) (Note L)"</f>
        <v>Worksheet F ln 23.(E) (Note L)</v>
      </c>
      <c r="F168" s="272"/>
      <c r="G168" s="285">
        <f>+'WS F Misc Exp'!F44</f>
        <v>713747.35</v>
      </c>
      <c r="H168" s="285"/>
      <c r="I168" s="286" t="s">
        <v>122</v>
      </c>
      <c r="J168" s="287">
        <f>L239</f>
        <v>0.98662571930531895</v>
      </c>
      <c r="K168" s="272"/>
      <c r="L168" s="285">
        <f>J168*G168</f>
        <v>704201.49259601522</v>
      </c>
      <c r="M168" s="272"/>
      <c r="N168" s="272"/>
      <c r="O168" s="272"/>
    </row>
    <row r="169" spans="2:15">
      <c r="B169" s="273">
        <f t="shared" si="8"/>
        <v>90</v>
      </c>
      <c r="C169" s="274"/>
      <c r="D169" s="269" t="s">
        <v>242</v>
      </c>
      <c r="E169" s="272" t="str">
        <f>"Worksheet F ln "&amp;'WS F Misc Exp'!A63&amp;".(E) (Note L)"</f>
        <v>Worksheet F ln 39.(E) (Note L)</v>
      </c>
      <c r="F169" s="272"/>
      <c r="G169" s="285">
        <f>+'WS F Misc Exp'!F63</f>
        <v>19411.180000000004</v>
      </c>
      <c r="H169" s="272"/>
      <c r="I169" s="286" t="s">
        <v>122</v>
      </c>
      <c r="J169" s="287">
        <f>L239</f>
        <v>0.98662571930531895</v>
      </c>
      <c r="K169" s="272"/>
      <c r="L169" s="285">
        <f>+J169*G169</f>
        <v>19151.569430065025</v>
      </c>
      <c r="M169" s="272"/>
      <c r="N169" s="272"/>
      <c r="O169" s="272"/>
    </row>
    <row r="170" spans="2:15">
      <c r="B170" s="273">
        <f t="shared" si="8"/>
        <v>91</v>
      </c>
      <c r="C170" s="274"/>
      <c r="D170" s="269" t="s">
        <v>243</v>
      </c>
      <c r="E170" s="272" t="str">
        <f>"Worksheet F ln "&amp;'WS F Misc Exp'!A73&amp;".(E) (Note L)"</f>
        <v>Worksheet F ln 46.(E) (Note L)</v>
      </c>
      <c r="F170" s="272"/>
      <c r="G170" s="285">
        <f>+'WS F Misc Exp'!F73</f>
        <v>111946.516</v>
      </c>
      <c r="H170" s="343"/>
      <c r="I170" s="286" t="s">
        <v>131</v>
      </c>
      <c r="J170" s="287">
        <v>1</v>
      </c>
      <c r="K170" s="272"/>
      <c r="L170" s="285">
        <f>+J170*G170</f>
        <v>111946.516</v>
      </c>
      <c r="M170" s="272"/>
      <c r="N170" s="272"/>
      <c r="O170" s="272"/>
    </row>
    <row r="171" spans="2:15">
      <c r="B171" s="273">
        <f t="shared" si="8"/>
        <v>92</v>
      </c>
      <c r="C171" s="274"/>
      <c r="D171" s="269" t="s">
        <v>858</v>
      </c>
      <c r="E171" s="272" t="s">
        <v>860</v>
      </c>
      <c r="F171" s="272"/>
      <c r="G171" s="364">
        <f>'WS O - PBOP'!E24</f>
        <v>-16844094</v>
      </c>
      <c r="H171" s="343"/>
      <c r="I171" s="286" t="s">
        <v>134</v>
      </c>
      <c r="J171" s="287">
        <f>L257</f>
        <v>0.11037346423821143</v>
      </c>
      <c r="K171" s="272"/>
      <c r="L171" s="364">
        <f>+J171*G171</f>
        <v>-1859141.0067340718</v>
      </c>
      <c r="M171" s="272"/>
      <c r="N171" s="272"/>
      <c r="O171" s="272"/>
    </row>
    <row r="172" spans="2:15">
      <c r="B172" s="273">
        <f t="shared" si="8"/>
        <v>93</v>
      </c>
      <c r="C172" s="274"/>
      <c r="D172" s="269" t="s">
        <v>111</v>
      </c>
      <c r="E172" s="272" t="str">
        <f>"(sum lns "&amp;B165&amp;"  to "&amp;B171&amp;")"</f>
        <v>(sum lns 87  to 92)</v>
      </c>
      <c r="F172" s="272"/>
      <c r="G172" s="285">
        <f>SUM(G165:G171)</f>
        <v>5737631.1404135413</v>
      </c>
      <c r="H172" s="285"/>
      <c r="I172" s="286"/>
      <c r="J172" s="326"/>
      <c r="K172" s="272"/>
      <c r="L172" s="285">
        <f>SUM(L165:L171)</f>
        <v>1546321.358483322</v>
      </c>
      <c r="M172" s="272"/>
      <c r="N172" s="285"/>
      <c r="O172" s="272"/>
    </row>
    <row r="173" spans="2:15" ht="15.75" thickBot="1">
      <c r="B173" s="273"/>
      <c r="C173" s="274"/>
      <c r="D173" s="269"/>
      <c r="E173" s="272"/>
      <c r="F173" s="272"/>
      <c r="G173" s="320"/>
      <c r="H173" s="272"/>
      <c r="I173" s="286"/>
      <c r="J173" s="326"/>
      <c r="K173" s="272"/>
      <c r="L173" s="320"/>
      <c r="M173" s="272"/>
      <c r="N173" s="272"/>
      <c r="O173" s="272"/>
    </row>
    <row r="174" spans="2:15">
      <c r="B174" s="273">
        <f>+B172+1</f>
        <v>94</v>
      </c>
      <c r="C174" s="274"/>
      <c r="D174" s="269" t="s">
        <v>416</v>
      </c>
      <c r="E174" s="272" t="str">
        <f>"(ln "&amp;B155&amp;" + ln "&amp;B172&amp;")"</f>
        <v>(ln 78 + ln 93)</v>
      </c>
      <c r="F174" s="272"/>
      <c r="G174" s="285">
        <f>+G155+G172</f>
        <v>16860291.900413517</v>
      </c>
      <c r="H174" s="285"/>
      <c r="I174" s="286"/>
      <c r="J174" s="272"/>
      <c r="K174" s="272"/>
      <c r="L174" s="285">
        <f>L155+L172</f>
        <v>12520224.531407343</v>
      </c>
      <c r="M174" s="272"/>
      <c r="N174" s="272"/>
      <c r="O174" s="272"/>
    </row>
    <row r="175" spans="2:15" ht="15.75" thickBot="1">
      <c r="B175" s="273">
        <f>+B174+1</f>
        <v>95</v>
      </c>
      <c r="C175" s="274"/>
      <c r="D175" s="269" t="s">
        <v>488</v>
      </c>
      <c r="E175" s="269"/>
      <c r="F175" s="272"/>
      <c r="G175" s="1034">
        <v>0</v>
      </c>
      <c r="H175" s="285"/>
      <c r="I175" s="286" t="s">
        <v>131</v>
      </c>
      <c r="J175" s="287">
        <v>1</v>
      </c>
      <c r="K175" s="272"/>
      <c r="L175" s="320">
        <f>J175*G175</f>
        <v>0</v>
      </c>
      <c r="M175" s="272"/>
      <c r="N175" s="272"/>
      <c r="O175" s="272"/>
    </row>
    <row r="176" spans="2:15">
      <c r="B176" s="273">
        <f>+B175+1</f>
        <v>96</v>
      </c>
      <c r="C176" s="274"/>
      <c r="D176" s="269" t="s">
        <v>112</v>
      </c>
      <c r="E176" s="272" t="str">
        <f>"(ln "&amp;B174&amp;" + ln "&amp;B175&amp;")"</f>
        <v>(ln 94 + ln 95)</v>
      </c>
      <c r="F176" s="272"/>
      <c r="G176" s="285">
        <f>+G174+G175</f>
        <v>16860291.900413517</v>
      </c>
      <c r="H176" s="285"/>
      <c r="I176" s="286"/>
      <c r="J176" s="272"/>
      <c r="K176" s="272"/>
      <c r="L176" s="285">
        <f>+L174+L175</f>
        <v>12520224.531407343</v>
      </c>
      <c r="M176" s="272"/>
      <c r="N176" s="272"/>
      <c r="O176" s="272"/>
    </row>
    <row r="177" spans="2:15">
      <c r="B177" s="273"/>
      <c r="C177" s="274"/>
      <c r="D177" s="269"/>
      <c r="E177" s="272"/>
      <c r="F177" s="272"/>
      <c r="G177" s="285"/>
      <c r="H177" s="272"/>
      <c r="I177" s="272"/>
      <c r="J177" s="272"/>
      <c r="K177" s="272"/>
      <c r="L177" s="285"/>
      <c r="M177" s="272"/>
      <c r="N177" s="272"/>
      <c r="O177" s="272"/>
    </row>
    <row r="178" spans="2:15">
      <c r="B178" s="273">
        <f>+B176+1</f>
        <v>97</v>
      </c>
      <c r="C178" s="274"/>
      <c r="D178" s="269" t="s">
        <v>115</v>
      </c>
      <c r="E178" s="286"/>
      <c r="F178" s="286"/>
      <c r="G178" s="285"/>
      <c r="H178" s="272"/>
      <c r="I178" s="286"/>
      <c r="J178" s="272"/>
      <c r="K178" s="272"/>
      <c r="L178" s="285"/>
      <c r="M178" s="272"/>
      <c r="N178" s="272"/>
      <c r="O178" s="272"/>
    </row>
    <row r="179" spans="2:15">
      <c r="B179" s="273">
        <f t="shared" ref="B179:B183" si="9">+B178+1</f>
        <v>98</v>
      </c>
      <c r="C179" s="274"/>
      <c r="D179" s="269" t="s">
        <v>128</v>
      </c>
      <c r="E179" s="283" t="s">
        <v>426</v>
      </c>
      <c r="F179" s="286"/>
      <c r="G179" s="1146">
        <v>38114534</v>
      </c>
      <c r="H179" s="272"/>
      <c r="I179" s="286" t="s">
        <v>129</v>
      </c>
      <c r="J179" s="287">
        <v>0</v>
      </c>
      <c r="K179" s="272"/>
      <c r="L179" s="285">
        <f>+G179*J179</f>
        <v>0</v>
      </c>
      <c r="M179" s="272"/>
      <c r="N179" s="272"/>
      <c r="O179" s="272"/>
    </row>
    <row r="180" spans="2:15">
      <c r="B180" s="273">
        <f t="shared" si="9"/>
        <v>99</v>
      </c>
      <c r="C180" s="274"/>
      <c r="D180" s="269" t="s">
        <v>132</v>
      </c>
      <c r="E180" s="283" t="s">
        <v>425</v>
      </c>
      <c r="F180" s="286"/>
      <c r="G180" s="1146">
        <v>43130460</v>
      </c>
      <c r="H180" s="272"/>
      <c r="I180" s="286" t="s">
        <v>129</v>
      </c>
      <c r="J180" s="287">
        <v>0</v>
      </c>
      <c r="K180" s="272"/>
      <c r="L180" s="285">
        <f>+G180*J180</f>
        <v>0</v>
      </c>
      <c r="M180" s="272"/>
      <c r="N180" s="272"/>
      <c r="O180" s="272"/>
    </row>
    <row r="181" spans="2:15">
      <c r="B181" s="273">
        <f t="shared" si="9"/>
        <v>100</v>
      </c>
      <c r="C181" s="274"/>
      <c r="D181" s="315" t="str">
        <f>+D150</f>
        <v xml:space="preserve">  Transmission </v>
      </c>
      <c r="E181" s="283" t="s">
        <v>421</v>
      </c>
      <c r="F181" s="316"/>
      <c r="G181" s="1146">
        <v>27400103</v>
      </c>
      <c r="H181" s="344"/>
      <c r="I181" s="317" t="s">
        <v>26</v>
      </c>
      <c r="J181" s="287">
        <f>J82</f>
        <v>0.97742912121632308</v>
      </c>
      <c r="K181" s="318"/>
      <c r="L181" s="319">
        <f>J181*G181</f>
        <v>26781658.596526738</v>
      </c>
      <c r="M181" s="318"/>
      <c r="N181" s="272"/>
      <c r="O181" s="272"/>
    </row>
    <row r="182" spans="2:15">
      <c r="B182" s="273">
        <f>+B181+1</f>
        <v>101</v>
      </c>
      <c r="C182" s="274"/>
      <c r="D182" s="269" t="s">
        <v>138</v>
      </c>
      <c r="E182" s="316" t="s">
        <v>422</v>
      </c>
      <c r="F182" s="272"/>
      <c r="G182" s="1146">
        <v>14113725</v>
      </c>
      <c r="H182" s="285"/>
      <c r="I182" s="286" t="s">
        <v>134</v>
      </c>
      <c r="J182" s="287">
        <f>L257</f>
        <v>0.11037346423821143</v>
      </c>
      <c r="K182" s="272"/>
      <c r="L182" s="285">
        <f>+J182*G182</f>
        <v>1557780.7215554505</v>
      </c>
      <c r="M182" s="272"/>
      <c r="N182" s="272"/>
      <c r="O182" s="272"/>
    </row>
    <row r="183" spans="2:15">
      <c r="B183" s="273">
        <f t="shared" si="9"/>
        <v>102</v>
      </c>
      <c r="C183" s="274"/>
      <c r="D183" s="269" t="s">
        <v>139</v>
      </c>
      <c r="E183" s="316" t="s">
        <v>423</v>
      </c>
      <c r="F183" s="272"/>
      <c r="G183" s="1146">
        <v>0</v>
      </c>
      <c r="H183" s="285"/>
      <c r="I183" s="286" t="s">
        <v>134</v>
      </c>
      <c r="J183" s="287">
        <f>L257</f>
        <v>0.11037346423821143</v>
      </c>
      <c r="K183" s="272"/>
      <c r="L183" s="285">
        <f>+J183*G183</f>
        <v>0</v>
      </c>
      <c r="M183" s="272"/>
      <c r="N183" s="272"/>
      <c r="O183" s="272"/>
    </row>
    <row r="184" spans="2:15" ht="15.75" thickBot="1">
      <c r="B184" s="273" t="s">
        <v>1353</v>
      </c>
      <c r="C184" s="274"/>
      <c r="D184" s="269" t="s">
        <v>1335</v>
      </c>
      <c r="E184" s="283" t="s">
        <v>1354</v>
      </c>
      <c r="F184" s="272"/>
      <c r="G184" s="1145">
        <v>0</v>
      </c>
      <c r="H184" s="272"/>
      <c r="I184" s="286" t="s">
        <v>1337</v>
      </c>
      <c r="J184" s="287">
        <f>$L$246</f>
        <v>1</v>
      </c>
      <c r="K184" s="272"/>
      <c r="L184" s="320">
        <f>+G184*J184</f>
        <v>0</v>
      </c>
      <c r="M184" s="272"/>
      <c r="N184" s="272"/>
      <c r="O184" s="272"/>
    </row>
    <row r="185" spans="2:15">
      <c r="B185" s="273">
        <f>+B183+1</f>
        <v>103</v>
      </c>
      <c r="C185" s="274"/>
      <c r="D185" s="269" t="s">
        <v>303</v>
      </c>
      <c r="E185" s="1182" t="str">
        <f>"(Ln "&amp;B179&amp;"+"&amp;B180&amp;"+
"&amp;B181&amp;"+"&amp;B182&amp;"+"&amp;B183&amp;")"</f>
        <v>(Ln 98+99+
100+101+102)</v>
      </c>
      <c r="F185" s="272"/>
      <c r="G185" s="285">
        <f>+G179+G180+G181+G182+G183+G184</f>
        <v>122758822</v>
      </c>
      <c r="H185" s="272"/>
      <c r="I185" s="286"/>
      <c r="J185" s="272"/>
      <c r="K185" s="272"/>
      <c r="L185" s="285">
        <f>+L179+L180+L181+L182+L183+L184</f>
        <v>28339439.318082187</v>
      </c>
      <c r="M185" s="272"/>
      <c r="N185" s="272"/>
      <c r="O185" s="272"/>
    </row>
    <row r="186" spans="2:15">
      <c r="B186" s="273"/>
      <c r="C186" s="274"/>
      <c r="D186" s="269"/>
      <c r="E186" s="1183"/>
      <c r="F186" s="272"/>
      <c r="G186" s="285"/>
      <c r="H186" s="272"/>
      <c r="I186" s="286"/>
      <c r="J186" s="272"/>
      <c r="K186" s="272"/>
      <c r="L186" s="285"/>
      <c r="M186" s="272"/>
      <c r="N186" s="272"/>
      <c r="O186" s="272"/>
    </row>
    <row r="187" spans="2:15">
      <c r="B187" s="273">
        <f>+B185+1</f>
        <v>104</v>
      </c>
      <c r="C187" s="274"/>
      <c r="D187" s="269" t="s">
        <v>33</v>
      </c>
      <c r="E187" s="265" t="s">
        <v>424</v>
      </c>
      <c r="G187" s="285"/>
      <c r="H187" s="272"/>
      <c r="I187" s="286"/>
      <c r="J187" s="272"/>
      <c r="K187" s="272"/>
      <c r="L187" s="285"/>
      <c r="M187" s="272"/>
      <c r="N187" s="337"/>
      <c r="O187" s="272"/>
    </row>
    <row r="188" spans="2:15">
      <c r="B188" s="273">
        <f t="shared" ref="B188:B193" si="10">+B187+1</f>
        <v>105</v>
      </c>
      <c r="C188" s="274"/>
      <c r="D188" s="269" t="s">
        <v>140</v>
      </c>
      <c r="G188" s="285"/>
      <c r="H188" s="272"/>
      <c r="I188" s="286"/>
      <c r="K188" s="272"/>
      <c r="L188" s="285"/>
      <c r="M188" s="272"/>
      <c r="N188" s="272"/>
      <c r="O188" s="272"/>
    </row>
    <row r="189" spans="2:15">
      <c r="B189" s="273">
        <f t="shared" si="10"/>
        <v>106</v>
      </c>
      <c r="C189" s="274"/>
      <c r="D189" s="269" t="s">
        <v>141</v>
      </c>
      <c r="E189" s="272" t="str">
        <f>"Worksheet H ln "&amp;'WS H Other Taxes'!A43&amp;"."&amp;'WS H Other Taxes'!I10&amp;""</f>
        <v>Worksheet H ln 24.(D)</v>
      </c>
      <c r="F189" s="272"/>
      <c r="G189" s="285">
        <f>+'WS H Other Taxes'!I43</f>
        <v>2058882.89</v>
      </c>
      <c r="H189" s="285"/>
      <c r="I189" s="286" t="s">
        <v>134</v>
      </c>
      <c r="J189" s="287">
        <f>L257</f>
        <v>0.11037346423821143</v>
      </c>
      <c r="K189" s="272"/>
      <c r="L189" s="285">
        <f>+J189*G189</f>
        <v>227246.03703008039</v>
      </c>
      <c r="M189" s="332"/>
      <c r="N189" s="272"/>
      <c r="O189" s="272"/>
    </row>
    <row r="190" spans="2:15">
      <c r="B190" s="273">
        <f t="shared" si="10"/>
        <v>107</v>
      </c>
      <c r="C190" s="274"/>
      <c r="D190" s="269" t="s">
        <v>142</v>
      </c>
      <c r="E190" s="272" t="s">
        <v>116</v>
      </c>
      <c r="F190" s="272"/>
      <c r="G190" s="285"/>
      <c r="H190" s="285"/>
      <c r="I190" s="286"/>
      <c r="K190" s="272"/>
      <c r="L190" s="285"/>
      <c r="M190" s="272"/>
      <c r="N190" s="272"/>
      <c r="O190" s="272"/>
    </row>
    <row r="191" spans="2:15">
      <c r="B191" s="273">
        <f t="shared" si="10"/>
        <v>108</v>
      </c>
      <c r="C191" s="274"/>
      <c r="D191" s="269" t="s">
        <v>143</v>
      </c>
      <c r="E191" s="272" t="str">
        <f>"Worksheet H ln "&amp;'WS H Other Taxes'!A43&amp;"."&amp;'WS H Other Taxes'!G10&amp;""</f>
        <v>Worksheet H ln 24.(C)</v>
      </c>
      <c r="F191" s="272"/>
      <c r="G191" s="285">
        <f>+'WS H Other Taxes'!G43</f>
        <v>17984371.640000001</v>
      </c>
      <c r="H191" s="285"/>
      <c r="I191" s="286" t="s">
        <v>131</v>
      </c>
      <c r="J191" s="287"/>
      <c r="K191" s="272"/>
      <c r="L191" s="337">
        <f>'WS H-1-Detail of Tax Amts'!I27</f>
        <v>6081741.1519436305</v>
      </c>
      <c r="M191" s="345"/>
      <c r="N191" s="337"/>
      <c r="O191" s="272"/>
    </row>
    <row r="192" spans="2:15">
      <c r="B192" s="273">
        <f t="shared" si="10"/>
        <v>109</v>
      </c>
      <c r="C192" s="274"/>
      <c r="D192" s="269" t="s">
        <v>202</v>
      </c>
      <c r="E192" s="272" t="str">
        <f>"Worksheet H ln "&amp;'WS H Other Taxes'!A43&amp;"."&amp;'WS H Other Taxes'!M10&amp;""</f>
        <v>Worksheet H ln 24.(F)</v>
      </c>
      <c r="F192" s="272"/>
      <c r="G192" s="285">
        <f>+'WS H Other Taxes'!M43</f>
        <v>5371193</v>
      </c>
      <c r="H192" s="72"/>
      <c r="I192" s="286" t="s">
        <v>129</v>
      </c>
      <c r="J192" s="287">
        <v>0</v>
      </c>
      <c r="K192" s="272"/>
      <c r="L192" s="285">
        <f>+J192*G192</f>
        <v>0</v>
      </c>
      <c r="M192" s="272"/>
      <c r="N192" s="272"/>
      <c r="O192" s="272"/>
    </row>
    <row r="193" spans="2:15" ht="15.75" thickBot="1">
      <c r="B193" s="273">
        <f t="shared" si="10"/>
        <v>110</v>
      </c>
      <c r="C193" s="274"/>
      <c r="D193" s="269" t="s">
        <v>144</v>
      </c>
      <c r="E193" s="272" t="str">
        <f>"Worksheet H ln "&amp;'WS H Other Taxes'!A43&amp;"."&amp;'WS H Other Taxes'!K10&amp;""</f>
        <v>Worksheet H ln 24.(E)</v>
      </c>
      <c r="F193" s="272"/>
      <c r="G193" s="320">
        <f>+'WS H Other Taxes'!K43</f>
        <v>0</v>
      </c>
      <c r="H193" s="72"/>
      <c r="I193" s="286" t="s">
        <v>757</v>
      </c>
      <c r="J193" s="287">
        <f>J77</f>
        <v>0.26925414997392272</v>
      </c>
      <c r="K193" s="272"/>
      <c r="L193" s="320">
        <f>+J193*G193</f>
        <v>0</v>
      </c>
      <c r="M193" s="272"/>
      <c r="N193" s="272"/>
      <c r="O193" s="272"/>
    </row>
    <row r="194" spans="2:15">
      <c r="B194" s="273">
        <f>+B193+1</f>
        <v>111</v>
      </c>
      <c r="C194" s="274"/>
      <c r="D194" s="269" t="s">
        <v>34</v>
      </c>
      <c r="E194" s="283" t="str">
        <f>"(sum lns "&amp;B189&amp;" to "&amp;B193&amp;")"</f>
        <v>(sum lns 106 to 110)</v>
      </c>
      <c r="F194" s="272"/>
      <c r="G194" s="285">
        <f>SUM(G189:G193)</f>
        <v>25414447.530000001</v>
      </c>
      <c r="H194" s="272"/>
      <c r="I194" s="286"/>
      <c r="J194" s="346"/>
      <c r="K194" s="272"/>
      <c r="L194" s="285">
        <f>SUM(L189:L193)</f>
        <v>6308987.1889737109</v>
      </c>
      <c r="M194" s="272"/>
      <c r="N194" s="272"/>
      <c r="O194" s="272"/>
    </row>
    <row r="195" spans="2:15">
      <c r="B195" s="273"/>
      <c r="C195" s="274"/>
      <c r="D195" s="269"/>
      <c r="E195" s="272"/>
      <c r="F195" s="272"/>
      <c r="G195" s="272"/>
      <c r="H195" s="272"/>
      <c r="I195" s="286"/>
      <c r="J195" s="346"/>
      <c r="K195" s="272"/>
      <c r="L195" s="272"/>
      <c r="M195" s="331"/>
      <c r="N195" s="272"/>
      <c r="O195" s="272"/>
    </row>
    <row r="196" spans="2:15">
      <c r="B196" s="273">
        <f>+B194+1</f>
        <v>112</v>
      </c>
      <c r="C196" s="274"/>
      <c r="D196" s="269" t="s">
        <v>339</v>
      </c>
      <c r="E196" s="272" t="s">
        <v>427</v>
      </c>
      <c r="F196" s="347"/>
      <c r="G196" s="272"/>
      <c r="H196" s="72"/>
      <c r="I196" s="338"/>
      <c r="K196" s="272"/>
      <c r="L196" s="348"/>
      <c r="M196" s="272"/>
      <c r="N196" s="272"/>
      <c r="O196" s="272"/>
    </row>
    <row r="197" spans="2:15">
      <c r="B197" s="273">
        <f t="shared" ref="B197:B204" si="11">+B196+1</f>
        <v>113</v>
      </c>
      <c r="C197" s="274"/>
      <c r="D197" s="332" t="s">
        <v>340</v>
      </c>
      <c r="E197" s="272"/>
      <c r="F197" s="349"/>
      <c r="G197" s="350">
        <f>IF(F355&gt;0,1-(((1-F356)*(1-F355))/(1-F356*F355*F357)),0)</f>
        <v>0.24896121999999998</v>
      </c>
      <c r="H197" s="351"/>
      <c r="I197" s="351"/>
      <c r="K197" s="352"/>
      <c r="L197" s="348"/>
      <c r="M197" s="272"/>
      <c r="N197" s="272"/>
      <c r="O197" s="272"/>
    </row>
    <row r="198" spans="2:15">
      <c r="B198" s="273">
        <f t="shared" si="11"/>
        <v>114</v>
      </c>
      <c r="C198" s="274"/>
      <c r="D198" s="265" t="s">
        <v>341</v>
      </c>
      <c r="E198" s="272"/>
      <c r="F198" s="349"/>
      <c r="G198" s="350">
        <f>IF(L271&gt;0,($G197/(1-$G197))*(1-$L271/$L274),0)</f>
        <v>0.20254620449971361</v>
      </c>
      <c r="H198" s="351"/>
      <c r="I198" s="351"/>
      <c r="K198" s="352"/>
      <c r="L198" s="348"/>
      <c r="M198" s="272"/>
      <c r="N198" s="272"/>
      <c r="O198" s="272"/>
    </row>
    <row r="199" spans="2:15">
      <c r="B199" s="273">
        <f t="shared" si="11"/>
        <v>115</v>
      </c>
      <c r="C199" s="274"/>
      <c r="D199" s="269" t="str">
        <f>"       where WCLTD=(ln "&amp;B271&amp;") and WACC = (ln "&amp;B274&amp;")"</f>
        <v xml:space="preserve">       where WCLTD=(ln 154) and WACC = (ln 157)</v>
      </c>
      <c r="E199" s="272"/>
      <c r="F199" s="347"/>
      <c r="G199" s="272"/>
      <c r="H199" s="351"/>
      <c r="I199" s="351"/>
      <c r="J199" s="353"/>
      <c r="K199" s="352"/>
      <c r="L199" s="354"/>
      <c r="M199" s="272"/>
      <c r="N199" s="272"/>
      <c r="O199" s="272"/>
    </row>
    <row r="200" spans="2:15">
      <c r="B200" s="273">
        <f t="shared" si="11"/>
        <v>116</v>
      </c>
      <c r="C200" s="274"/>
      <c r="D200" s="269" t="s">
        <v>430</v>
      </c>
      <c r="E200" s="355"/>
      <c r="F200" s="349"/>
      <c r="G200" s="272"/>
      <c r="H200" s="72"/>
      <c r="I200" s="338"/>
      <c r="J200" s="353"/>
      <c r="K200" s="352"/>
      <c r="L200" s="348"/>
      <c r="M200" s="272"/>
      <c r="N200" s="272"/>
      <c r="O200" s="272"/>
    </row>
    <row r="201" spans="2:15">
      <c r="B201" s="273">
        <f t="shared" si="11"/>
        <v>117</v>
      </c>
      <c r="C201" s="274"/>
      <c r="D201" s="332" t="str">
        <f>"      GRCF=1 / (1 - T)  = (from ln "&amp;B197&amp;")"</f>
        <v xml:space="preserve">      GRCF=1 / (1 - T)  = (from ln 113)</v>
      </c>
      <c r="E201" s="347"/>
      <c r="F201" s="347"/>
      <c r="G201" s="356">
        <f>IF(G197&gt;0,1/(1-G197),0)</f>
        <v>1.3314891675766729</v>
      </c>
      <c r="H201" s="72"/>
      <c r="I201" s="299"/>
      <c r="J201" s="357"/>
      <c r="K201" s="358"/>
      <c r="L201" s="359"/>
      <c r="M201" s="272"/>
      <c r="N201" s="272"/>
      <c r="O201" s="272"/>
    </row>
    <row r="202" spans="2:15">
      <c r="B202" s="273">
        <f t="shared" si="11"/>
        <v>118</v>
      </c>
      <c r="C202" s="274"/>
      <c r="D202" s="269" t="s">
        <v>342</v>
      </c>
      <c r="E202" s="326" t="s">
        <v>506</v>
      </c>
      <c r="F202" s="347"/>
      <c r="G202" s="660">
        <v>0</v>
      </c>
      <c r="H202" s="72"/>
      <c r="I202" s="299"/>
      <c r="J202" s="360"/>
      <c r="K202" s="358"/>
      <c r="L202" s="348"/>
      <c r="M202" s="286"/>
      <c r="N202" s="272"/>
      <c r="O202" s="272"/>
    </row>
    <row r="203" spans="2:15">
      <c r="B203" s="273">
        <f t="shared" si="11"/>
        <v>119</v>
      </c>
      <c r="C203" s="274"/>
      <c r="D203" s="265" t="s">
        <v>534</v>
      </c>
      <c r="E203" s="272" t="s">
        <v>547</v>
      </c>
      <c r="F203" s="361"/>
      <c r="G203" s="1103">
        <v>-2764968.317151533</v>
      </c>
      <c r="H203" s="208"/>
      <c r="I203" s="286" t="s">
        <v>131</v>
      </c>
      <c r="J203" s="360"/>
      <c r="K203" s="358"/>
      <c r="L203" s="1103">
        <v>-1110517.2553326627</v>
      </c>
      <c r="M203" s="286"/>
      <c r="N203" s="272"/>
      <c r="O203" s="272"/>
    </row>
    <row r="204" spans="2:15">
      <c r="B204" s="273">
        <f t="shared" si="11"/>
        <v>120</v>
      </c>
      <c r="C204" s="274"/>
      <c r="D204" s="265" t="s">
        <v>747</v>
      </c>
      <c r="E204" s="272" t="s">
        <v>547</v>
      </c>
      <c r="F204" s="361"/>
      <c r="G204" s="1103">
        <v>1191674.3458214519</v>
      </c>
      <c r="H204" s="208"/>
      <c r="I204" s="286" t="s">
        <v>131</v>
      </c>
      <c r="J204" s="360"/>
      <c r="K204" s="358"/>
      <c r="L204" s="1103">
        <v>618256.21919405821</v>
      </c>
      <c r="M204" s="286"/>
      <c r="N204" s="272"/>
      <c r="O204" s="272"/>
    </row>
    <row r="205" spans="2:15">
      <c r="B205" s="273"/>
      <c r="C205" s="274"/>
      <c r="D205" s="269"/>
      <c r="E205" s="272"/>
      <c r="F205" s="349"/>
      <c r="G205" s="285"/>
      <c r="H205" s="72"/>
      <c r="I205" s="299"/>
      <c r="J205" s="362"/>
      <c r="K205" s="358"/>
      <c r="L205" s="348"/>
      <c r="M205" s="272"/>
      <c r="N205" s="272"/>
      <c r="O205" s="272"/>
    </row>
    <row r="206" spans="2:15">
      <c r="B206" s="273">
        <f>+B204+1</f>
        <v>121</v>
      </c>
      <c r="C206" s="274"/>
      <c r="D206" s="332" t="s">
        <v>343</v>
      </c>
      <c r="E206" s="361" t="str">
        <f>"(ln "&amp;B198&amp;" * ln "&amp;B213&amp;")"</f>
        <v>(ln 114 * ln 126)</v>
      </c>
      <c r="F206" s="363"/>
      <c r="G206" s="285">
        <f>+G198*G213</f>
        <v>28054957.37541097</v>
      </c>
      <c r="H206" s="72"/>
      <c r="I206" s="299"/>
      <c r="J206" s="362"/>
      <c r="K206" s="285"/>
      <c r="L206" s="285">
        <f>+L213*G198</f>
        <v>9398106.7034338396</v>
      </c>
      <c r="M206" s="272"/>
      <c r="N206" s="272"/>
      <c r="O206" s="272"/>
    </row>
    <row r="207" spans="2:15">
      <c r="B207" s="273">
        <f>+B206+1</f>
        <v>122</v>
      </c>
      <c r="C207" s="274"/>
      <c r="D207" s="265" t="s">
        <v>344</v>
      </c>
      <c r="E207" s="361" t="str">
        <f>"(ln "&amp;B201&amp;" * ln "&amp;B202&amp;")"</f>
        <v>(ln 117 * ln 118)</v>
      </c>
      <c r="F207" s="361"/>
      <c r="G207" s="285">
        <f>G201*G202</f>
        <v>0</v>
      </c>
      <c r="H207" s="72"/>
      <c r="I207" s="286" t="s">
        <v>757</v>
      </c>
      <c r="J207" s="287">
        <f>J77</f>
        <v>0.26925414997392272</v>
      </c>
      <c r="K207" s="285"/>
      <c r="L207" s="285">
        <f>+G207*J207</f>
        <v>0</v>
      </c>
      <c r="M207" s="272"/>
      <c r="N207" s="272"/>
      <c r="O207" s="272"/>
    </row>
    <row r="208" spans="2:15">
      <c r="B208" s="273">
        <f>B207+1</f>
        <v>123</v>
      </c>
      <c r="C208" s="274"/>
      <c r="D208" s="265" t="s">
        <v>534</v>
      </c>
      <c r="E208" s="361" t="str">
        <f>"(ln "&amp;B201&amp;" * ln "&amp;B203&amp;")"</f>
        <v>(ln 117 * ln 119)</v>
      </c>
      <c r="F208" s="361"/>
      <c r="G208" s="285">
        <f>G203*G201</f>
        <v>-3681525.3629799685</v>
      </c>
      <c r="H208" s="72"/>
      <c r="I208" s="301"/>
      <c r="J208" s="287"/>
      <c r="K208" s="285"/>
      <c r="L208" s="285">
        <f>L203*G201</f>
        <v>-1478641.6958824187</v>
      </c>
      <c r="M208" s="272"/>
      <c r="N208" s="272"/>
      <c r="O208" s="272"/>
    </row>
    <row r="209" spans="2:15">
      <c r="B209" s="273">
        <f>B208+1</f>
        <v>124</v>
      </c>
      <c r="C209" s="274"/>
      <c r="D209" s="265" t="s">
        <v>747</v>
      </c>
      <c r="E209" s="361" t="str">
        <f>"(ln "&amp;B201&amp;" * ln "&amp;B204&amp;")"</f>
        <v>(ln 117 * ln 120)</v>
      </c>
      <c r="F209" s="361"/>
      <c r="G209" s="364">
        <f>G204*G201</f>
        <v>1586701.4827402811</v>
      </c>
      <c r="H209" s="72"/>
      <c r="I209" s="301"/>
      <c r="J209" s="287"/>
      <c r="K209" s="285"/>
      <c r="L209" s="364">
        <f>L204*G201</f>
        <v>823201.45864379755</v>
      </c>
      <c r="M209" s="272"/>
      <c r="N209" s="272"/>
      <c r="O209" s="272"/>
    </row>
    <row r="210" spans="2:15">
      <c r="B210" s="273"/>
      <c r="C210" s="274"/>
      <c r="E210" s="361"/>
      <c r="F210" s="361"/>
      <c r="G210" s="285"/>
      <c r="H210" s="72"/>
      <c r="I210" s="301"/>
      <c r="J210" s="287"/>
      <c r="K210" s="285"/>
      <c r="L210" s="285"/>
      <c r="M210" s="272"/>
      <c r="N210" s="272"/>
      <c r="O210" s="272"/>
    </row>
    <row r="211" spans="2:15">
      <c r="B211" s="273">
        <f>+B209+1</f>
        <v>125</v>
      </c>
      <c r="C211" s="274"/>
      <c r="D211" s="332" t="s">
        <v>36</v>
      </c>
      <c r="E211" s="272" t="str">
        <f>"(sum lns "&amp;B206&amp;" to "&amp;B209&amp;")"</f>
        <v>(sum lns 121 to 124)</v>
      </c>
      <c r="F211" s="361"/>
      <c r="G211" s="301">
        <f>SUM(G206:G209)</f>
        <v>25960133.495171286</v>
      </c>
      <c r="H211" s="72"/>
      <c r="I211" s="299" t="s">
        <v>116</v>
      </c>
      <c r="J211" s="365"/>
      <c r="K211" s="285"/>
      <c r="L211" s="301">
        <f>SUM(L206:L209)</f>
        <v>8742666.4661952183</v>
      </c>
      <c r="M211" s="272"/>
      <c r="N211" s="272"/>
      <c r="O211" s="272"/>
    </row>
    <row r="212" spans="2:15">
      <c r="B212" s="273"/>
      <c r="C212" s="274"/>
      <c r="D212" s="269"/>
      <c r="E212" s="272"/>
      <c r="F212" s="272"/>
      <c r="G212" s="272"/>
      <c r="H212" s="272"/>
      <c r="I212" s="286"/>
      <c r="J212" s="346"/>
      <c r="K212" s="272"/>
      <c r="L212" s="272"/>
      <c r="M212" s="272"/>
      <c r="N212" s="272"/>
      <c r="O212" s="272"/>
    </row>
    <row r="213" spans="2:15">
      <c r="B213" s="273">
        <f>+B211+1</f>
        <v>126</v>
      </c>
      <c r="C213" s="274"/>
      <c r="D213" s="332" t="s">
        <v>201</v>
      </c>
      <c r="E213" s="332" t="str">
        <f>"(ln "&amp;B131&amp;" * ln "&amp;B274&amp;")"</f>
        <v>(ln 68 * ln 157)</v>
      </c>
      <c r="F213" s="328"/>
      <c r="G213" s="285">
        <f>+$L274*G131</f>
        <v>138511395.18860072</v>
      </c>
      <c r="H213" s="272"/>
      <c r="I213" s="299"/>
      <c r="J213" s="285"/>
      <c r="K213" s="285"/>
      <c r="L213" s="285">
        <f>+L274*L131</f>
        <v>46399816.410517476</v>
      </c>
      <c r="M213" s="272"/>
      <c r="N213" s="348"/>
      <c r="O213" s="348"/>
    </row>
    <row r="214" spans="2:15">
      <c r="B214" s="273"/>
      <c r="C214" s="274"/>
      <c r="D214" s="332"/>
      <c r="G214" s="285"/>
      <c r="H214" s="285"/>
      <c r="I214" s="299"/>
      <c r="J214" s="299"/>
      <c r="K214" s="285"/>
      <c r="L214" s="285"/>
      <c r="M214" s="272"/>
    </row>
    <row r="215" spans="2:15">
      <c r="B215" s="273">
        <f>+B213+1</f>
        <v>127</v>
      </c>
      <c r="C215" s="274"/>
      <c r="D215" s="366" t="s">
        <v>100</v>
      </c>
      <c r="F215" s="316"/>
      <c r="G215" s="285">
        <f>-'WS D IPP Credits'!C13</f>
        <v>0</v>
      </c>
      <c r="H215" s="285"/>
      <c r="I215" s="335" t="s">
        <v>131</v>
      </c>
      <c r="J215" s="287">
        <v>1</v>
      </c>
      <c r="K215" s="319"/>
      <c r="L215" s="285">
        <f>+J215*G215</f>
        <v>0</v>
      </c>
      <c r="M215" s="318"/>
    </row>
    <row r="216" spans="2:15">
      <c r="B216" s="273"/>
      <c r="C216" s="274"/>
      <c r="D216" s="366"/>
      <c r="F216" s="316"/>
      <c r="G216" s="285"/>
      <c r="H216" s="285"/>
      <c r="I216" s="335"/>
      <c r="J216" s="287"/>
      <c r="K216" s="319"/>
      <c r="L216" s="285"/>
      <c r="M216" s="318"/>
    </row>
    <row r="217" spans="2:15">
      <c r="B217" s="273">
        <f>+B215+1</f>
        <v>128</v>
      </c>
      <c r="C217" s="274"/>
      <c r="D217" s="366" t="str">
        <f>"(Gains) / Losses on Sales of Plant Held for Future Use (Worksheet N, ln "&amp;'WS N - Sale of Plant Held'!A33&amp;", Cols. ("&amp;'WS N - Sale of Plant Held'!O12&amp;" &amp; "&amp;'WS N - Sale of Plant Held'!S12&amp;")"</f>
        <v>(Gains) / Losses on Sales of Plant Held for Future Use (Worksheet N, ln 4, Cols. ((F) &amp; (H))</v>
      </c>
      <c r="F217" s="316"/>
      <c r="G217" s="285">
        <f>+'WS N - Sale of Plant Held'!O33</f>
        <v>0</v>
      </c>
      <c r="H217" s="285"/>
      <c r="I217" s="335"/>
      <c r="J217" s="287"/>
      <c r="K217" s="319"/>
      <c r="L217" s="285">
        <f>'WS N - Sale of Plant Held'!S33</f>
        <v>0</v>
      </c>
      <c r="M217" s="318"/>
    </row>
    <row r="218" spans="2:15">
      <c r="B218" s="273"/>
      <c r="C218" s="274"/>
      <c r="D218" s="366"/>
      <c r="F218" s="316"/>
      <c r="G218" s="285"/>
      <c r="H218" s="285"/>
      <c r="I218" s="335"/>
      <c r="J218" s="287"/>
      <c r="K218" s="319"/>
      <c r="L218" s="285"/>
      <c r="M218" s="318"/>
    </row>
    <row r="219" spans="2:15">
      <c r="B219" s="273">
        <f>+B217+1</f>
        <v>129</v>
      </c>
      <c r="C219" s="274"/>
      <c r="D219" s="366" t="str">
        <f>" Tax Impact on Net Loss / (Gain) on Sales of Plant Held for Future Use (ln "&amp;B217&amp;" * ln"&amp;B198&amp;")"</f>
        <v xml:space="preserve"> Tax Impact on Net Loss / (Gain) on Sales of Plant Held for Future Use (ln 128 * ln114)</v>
      </c>
      <c r="F219" s="316"/>
      <c r="G219" s="285">
        <f>-+G198*G217</f>
        <v>0</v>
      </c>
      <c r="H219" s="285"/>
      <c r="I219" s="335"/>
      <c r="J219" s="287"/>
      <c r="K219" s="319"/>
      <c r="L219" s="285">
        <f>L217*-G198</f>
        <v>0</v>
      </c>
      <c r="M219" s="318"/>
    </row>
    <row r="220" spans="2:15" ht="15.75" thickBot="1">
      <c r="B220" s="273"/>
      <c r="C220" s="274"/>
      <c r="D220" s="269"/>
      <c r="G220" s="320"/>
      <c r="H220" s="367"/>
      <c r="I220" s="299"/>
      <c r="J220" s="299"/>
      <c r="K220" s="285"/>
      <c r="L220" s="320"/>
      <c r="M220" s="272"/>
    </row>
    <row r="221" spans="2:15" ht="15.75" thickBot="1">
      <c r="B221" s="273">
        <f>+B219+1</f>
        <v>130</v>
      </c>
      <c r="C221" s="274"/>
      <c r="D221" s="265" t="s">
        <v>251</v>
      </c>
      <c r="G221" s="368">
        <f>+G215+G213+G211+G194+G185+G176+G217+G219</f>
        <v>329505090.11418551</v>
      </c>
      <c r="L221" s="368">
        <f>+L215+L213+L211+L194+L185+L176+L217+L219</f>
        <v>102311133.91517593</v>
      </c>
      <c r="M221" s="272"/>
    </row>
    <row r="222" spans="2:15" ht="15.75" thickTop="1">
      <c r="B222" s="273"/>
      <c r="C222" s="274"/>
      <c r="D222" s="269" t="str">
        <f>"    (sum lns "&amp;B176&amp;", "&amp;B185&amp;", "&amp;B194&amp;", "&amp;B211&amp;", "&amp;B213&amp;", "&amp;B215&amp;", "&amp;B217&amp;", "&amp;B219&amp;")"</f>
        <v xml:space="preserve">    (sum lns 96, 103, 111, 125, 126, 127, 128, 129)</v>
      </c>
      <c r="F222" s="281"/>
      <c r="M222" s="272"/>
    </row>
    <row r="223" spans="2:15">
      <c r="B223" s="273"/>
      <c r="C223" s="274"/>
      <c r="F223" s="281"/>
      <c r="M223" s="272"/>
    </row>
    <row r="224" spans="2:15">
      <c r="B224" s="273"/>
      <c r="C224" s="274"/>
      <c r="D224" s="269"/>
      <c r="F224" s="338" t="str">
        <f>F134</f>
        <v xml:space="preserve">AEP East Companies </v>
      </c>
      <c r="M224" s="337"/>
    </row>
    <row r="225" spans="2:16">
      <c r="B225" s="273"/>
      <c r="C225" s="274"/>
      <c r="D225" s="269"/>
      <c r="F225" s="338" t="str">
        <f>F135</f>
        <v>Transmission Cost of Service Formula Rate</v>
      </c>
      <c r="M225" s="337"/>
    </row>
    <row r="226" spans="2:16">
      <c r="B226" s="265"/>
      <c r="C226" s="274"/>
      <c r="F226" s="338" t="str">
        <f>F136</f>
        <v>Utilizing  Actual/Projected FERC Form 1 Data</v>
      </c>
      <c r="M226" s="304"/>
    </row>
    <row r="227" spans="2:16">
      <c r="B227" s="273"/>
      <c r="C227" s="274"/>
      <c r="E227" s="338"/>
      <c r="F227" s="338"/>
      <c r="G227" s="338"/>
      <c r="H227" s="338"/>
      <c r="I227" s="338"/>
      <c r="J227" s="338"/>
      <c r="K227" s="338"/>
      <c r="M227" s="272"/>
    </row>
    <row r="228" spans="2:16">
      <c r="B228" s="273"/>
      <c r="C228" s="274"/>
      <c r="E228" s="269"/>
      <c r="F228" s="338" t="str">
        <f>F138</f>
        <v>KENTUCKY POWER COMPANY</v>
      </c>
      <c r="G228" s="269"/>
      <c r="H228" s="269"/>
      <c r="I228" s="269"/>
      <c r="J228" s="269"/>
      <c r="K228" s="269"/>
      <c r="L228" s="269"/>
      <c r="M228" s="269"/>
    </row>
    <row r="229" spans="2:16">
      <c r="B229" s="273"/>
      <c r="C229" s="274"/>
      <c r="E229" s="269"/>
      <c r="F229" s="338"/>
      <c r="G229" s="269"/>
      <c r="H229" s="269"/>
      <c r="I229" s="269"/>
      <c r="J229" s="269"/>
      <c r="K229" s="269"/>
      <c r="L229" s="269"/>
      <c r="M229" s="269"/>
    </row>
    <row r="230" spans="2:16" ht="15.75">
      <c r="B230" s="273"/>
      <c r="C230" s="274"/>
      <c r="F230" s="339" t="s">
        <v>41</v>
      </c>
      <c r="H230" s="269"/>
      <c r="I230" s="269"/>
      <c r="J230" s="269"/>
      <c r="K230" s="269"/>
      <c r="L230" s="269"/>
      <c r="M230" s="272"/>
    </row>
    <row r="231" spans="2:16" ht="15.75">
      <c r="B231" s="273"/>
      <c r="C231" s="274"/>
      <c r="D231" s="369"/>
      <c r="E231" s="269"/>
      <c r="F231" s="269"/>
      <c r="G231" s="269"/>
      <c r="H231" s="269"/>
      <c r="I231" s="269"/>
      <c r="J231" s="269"/>
      <c r="K231" s="269"/>
      <c r="L231" s="269"/>
      <c r="M231" s="272"/>
    </row>
    <row r="232" spans="2:16" ht="15.75">
      <c r="B232" s="273" t="s">
        <v>118</v>
      </c>
      <c r="C232" s="274"/>
      <c r="D232" s="369"/>
      <c r="E232" s="269"/>
      <c r="F232" s="269"/>
      <c r="G232" s="269"/>
      <c r="H232" s="269"/>
      <c r="I232" s="269"/>
      <c r="J232" s="269"/>
      <c r="K232" s="269"/>
      <c r="L232" s="269"/>
      <c r="M232" s="272"/>
    </row>
    <row r="233" spans="2:16" ht="15.75" thickBot="1">
      <c r="B233" s="279" t="s">
        <v>119</v>
      </c>
      <c r="C233" s="274"/>
      <c r="D233" s="269" t="s">
        <v>223</v>
      </c>
      <c r="E233" s="269"/>
      <c r="F233" s="269"/>
      <c r="G233" s="269"/>
      <c r="H233" s="269"/>
      <c r="I233" s="269"/>
      <c r="J233" s="269"/>
      <c r="M233" s="272"/>
      <c r="P233"/>
    </row>
    <row r="234" spans="2:16">
      <c r="B234" s="273">
        <f>+B221+1</f>
        <v>131</v>
      </c>
      <c r="C234" s="274"/>
      <c r="D234" s="269" t="s">
        <v>168</v>
      </c>
      <c r="E234" s="370" t="str">
        <f>"(ln "&amp;B68&amp;")"</f>
        <v>(ln 21)</v>
      </c>
      <c r="F234" s="269"/>
      <c r="H234" s="272"/>
      <c r="I234" s="272"/>
      <c r="J234" s="272"/>
      <c r="K234" s="272"/>
      <c r="L234" s="285">
        <f>+G68</f>
        <v>971165269.80000007</v>
      </c>
      <c r="M234" s="272"/>
      <c r="P234"/>
    </row>
    <row r="235" spans="2:16">
      <c r="B235" s="273">
        <f>+B234+1</f>
        <v>132</v>
      </c>
      <c r="C235" s="274"/>
      <c r="D235" s="269" t="str">
        <f>"  Less transmission plant excluded from PJM Tariff  (Worksheet A, ln "&amp;'WS A - RB Support'!A62&amp;", Col. "&amp;'WS A - RB Support'!E47&amp;") (Note P)"</f>
        <v xml:space="preserve">  Less transmission plant excluded from PJM Tariff  (Worksheet A, ln 42, Col. (d)) (Note P)</v>
      </c>
      <c r="G235" s="338"/>
      <c r="L235" s="660">
        <f>'WS A - RB Support'!E62</f>
        <v>0</v>
      </c>
      <c r="M235" s="272"/>
      <c r="P235"/>
    </row>
    <row r="236" spans="2:16" ht="15.75" thickBot="1">
      <c r="B236" s="273">
        <f>+B235+1</f>
        <v>133</v>
      </c>
      <c r="C236" s="274"/>
      <c r="D236" s="269" t="str">
        <f>"  Less transmission plant included in OATT Ancillary Services (Worksheet A, ln "&amp;'WS A - RB Support'!A62&amp;", Col. "&amp;'WS A - RB Support'!C47&amp;")  (Note Q)"</f>
        <v xml:space="preserve">  Less transmission plant included in OATT Ancillary Services (Worksheet A, ln 42, Col. (b))  (Note Q)</v>
      </c>
      <c r="E236" s="269"/>
      <c r="F236" s="269"/>
      <c r="G236" s="286"/>
      <c r="H236" s="272"/>
      <c r="I236" s="272"/>
      <c r="J236" s="286"/>
      <c r="K236" s="272"/>
      <c r="L236" s="371">
        <f>'WS A - RB Support'!C62</f>
        <v>12988636.919230767</v>
      </c>
      <c r="M236" s="272"/>
      <c r="P236"/>
    </row>
    <row r="237" spans="2:16">
      <c r="B237" s="273">
        <f>+B236+1</f>
        <v>134</v>
      </c>
      <c r="C237" s="274"/>
      <c r="D237" s="269" t="s">
        <v>224</v>
      </c>
      <c r="E237" s="283" t="str">
        <f>"(ln "&amp;B234&amp;" - ln "&amp;B235&amp;" - ln "&amp;B236&amp;")"</f>
        <v>(ln 131 - ln 132 - ln 133)</v>
      </c>
      <c r="F237" s="269"/>
      <c r="H237" s="272"/>
      <c r="I237" s="272"/>
      <c r="J237" s="286"/>
      <c r="K237" s="272"/>
      <c r="L237" s="285">
        <f>L234-L235-L236</f>
        <v>958176632.88076925</v>
      </c>
      <c r="M237" s="272"/>
      <c r="P237"/>
    </row>
    <row r="238" spans="2:16">
      <c r="B238" s="273"/>
      <c r="C238" s="274"/>
      <c r="E238" s="269"/>
      <c r="F238" s="269"/>
      <c r="G238" s="286"/>
      <c r="H238" s="272"/>
      <c r="I238" s="272"/>
      <c r="J238" s="286"/>
      <c r="K238" s="272"/>
      <c r="M238" s="272"/>
      <c r="P238"/>
    </row>
    <row r="239" spans="2:16" ht="15.75">
      <c r="B239" s="273">
        <f>+B237+1</f>
        <v>135</v>
      </c>
      <c r="C239" s="274"/>
      <c r="D239" s="269" t="s">
        <v>225</v>
      </c>
      <c r="E239" s="274" t="str">
        <f>"(ln "&amp;B237&amp;" / ln "&amp;B234&amp;")"</f>
        <v>(ln 134 / ln 131)</v>
      </c>
      <c r="F239" s="277"/>
      <c r="H239" s="277"/>
      <c r="I239" s="275"/>
      <c r="J239" s="275"/>
      <c r="K239" s="313" t="s">
        <v>145</v>
      </c>
      <c r="L239" s="372">
        <f>IF(L234&gt;0,L237/L234,0)</f>
        <v>0.98662571930531895</v>
      </c>
      <c r="M239" s="272"/>
      <c r="P239"/>
    </row>
    <row r="240" spans="2:16" ht="15.75">
      <c r="B240" s="273"/>
      <c r="C240" s="274"/>
      <c r="D240" s="369"/>
      <c r="E240" s="269"/>
      <c r="F240" s="269"/>
      <c r="G240" s="272"/>
      <c r="H240" s="269"/>
      <c r="I240" s="274"/>
      <c r="J240" s="269"/>
      <c r="K240" s="269"/>
      <c r="L240" s="269"/>
      <c r="M240" s="272"/>
    </row>
    <row r="241" spans="2:13">
      <c r="B241" s="273" t="s">
        <v>1319</v>
      </c>
      <c r="C241" s="274"/>
      <c r="D241" s="269" t="s">
        <v>1320</v>
      </c>
      <c r="E241" s="269"/>
      <c r="F241" s="269"/>
      <c r="G241" s="272"/>
      <c r="H241" s="269"/>
      <c r="I241" s="274"/>
      <c r="J241" s="269"/>
      <c r="K241" s="269"/>
      <c r="L241" s="269"/>
      <c r="M241" s="272"/>
    </row>
    <row r="242" spans="2:13" ht="15.75">
      <c r="B242" s="273" t="s">
        <v>1321</v>
      </c>
      <c r="C242" s="274"/>
      <c r="D242" s="369" t="s">
        <v>1322</v>
      </c>
      <c r="E242" s="269" t="s">
        <v>1323</v>
      </c>
      <c r="F242" s="269"/>
      <c r="G242" s="272"/>
      <c r="H242" s="269"/>
      <c r="I242" s="274"/>
      <c r="J242" s="269"/>
      <c r="K242" s="269"/>
      <c r="L242" s="285">
        <f>G75</f>
        <v>0</v>
      </c>
      <c r="M242" s="272"/>
    </row>
    <row r="243" spans="2:13" ht="15.75">
      <c r="B243" s="273" t="s">
        <v>1324</v>
      </c>
      <c r="C243" s="274"/>
      <c r="D243" s="369" t="s">
        <v>1325</v>
      </c>
      <c r="E243" s="272" t="s">
        <v>1326</v>
      </c>
      <c r="F243" s="269"/>
      <c r="G243" s="272"/>
      <c r="H243" s="269"/>
      <c r="I243" s="274"/>
      <c r="J243" s="269"/>
      <c r="K243" s="269"/>
      <c r="L243" s="269">
        <f>'WS A - RB Support'!G62</f>
        <v>0</v>
      </c>
      <c r="M243" s="272"/>
    </row>
    <row r="244" spans="2:13" ht="15.75">
      <c r="B244" s="273" t="s">
        <v>1327</v>
      </c>
      <c r="C244" s="274"/>
      <c r="D244" s="369" t="s">
        <v>1328</v>
      </c>
      <c r="E244" s="269" t="s">
        <v>1329</v>
      </c>
      <c r="F244" s="269"/>
      <c r="G244" s="272"/>
      <c r="H244" s="269"/>
      <c r="I244" s="274"/>
      <c r="J244" s="269"/>
      <c r="K244" s="269"/>
      <c r="L244" s="285">
        <f>L242-L243</f>
        <v>0</v>
      </c>
      <c r="M244" s="272"/>
    </row>
    <row r="245" spans="2:13" ht="15.75">
      <c r="B245" s="273"/>
      <c r="C245" s="274"/>
      <c r="D245" s="369"/>
      <c r="E245" s="269"/>
      <c r="F245" s="269"/>
      <c r="G245" s="272"/>
      <c r="H245" s="269"/>
      <c r="I245" s="274"/>
      <c r="J245" s="269"/>
      <c r="K245" s="269"/>
      <c r="L245" s="269"/>
      <c r="M245" s="272"/>
    </row>
    <row r="246" spans="2:13" ht="15.75">
      <c r="B246" s="273" t="s">
        <v>1330</v>
      </c>
      <c r="C246" s="274"/>
      <c r="D246" s="269" t="s">
        <v>1331</v>
      </c>
      <c r="E246" s="269" t="s">
        <v>1332</v>
      </c>
      <c r="F246" s="269"/>
      <c r="G246" s="272"/>
      <c r="H246" s="269"/>
      <c r="I246" s="274"/>
      <c r="J246" s="269"/>
      <c r="K246" s="269" t="s">
        <v>1333</v>
      </c>
      <c r="L246" s="369">
        <f>IFERROR(L244/L242,1)</f>
        <v>1</v>
      </c>
      <c r="M246" s="272"/>
    </row>
    <row r="247" spans="2:13" ht="15.75">
      <c r="B247" s="273"/>
      <c r="C247" s="274"/>
      <c r="D247" s="369"/>
      <c r="E247" s="269"/>
      <c r="F247" s="269"/>
      <c r="G247" s="272"/>
      <c r="H247" s="269"/>
      <c r="I247" s="274"/>
      <c r="J247" s="269"/>
      <c r="K247" s="269"/>
      <c r="L247" s="269"/>
      <c r="M247" s="272"/>
    </row>
    <row r="248" spans="2:13" ht="45">
      <c r="B248" s="273">
        <f>B239+1</f>
        <v>136</v>
      </c>
      <c r="C248" s="274"/>
      <c r="D248" s="269" t="s">
        <v>42</v>
      </c>
      <c r="E248" s="286" t="s">
        <v>345</v>
      </c>
      <c r="F248" s="286" t="s">
        <v>186</v>
      </c>
      <c r="G248" s="373" t="s">
        <v>216</v>
      </c>
      <c r="H248" s="338" t="s">
        <v>120</v>
      </c>
      <c r="I248" s="286"/>
      <c r="J248" s="272"/>
      <c r="K248" s="272"/>
      <c r="L248" s="272"/>
      <c r="M248" s="272"/>
    </row>
    <row r="249" spans="2:13">
      <c r="B249" s="273">
        <f t="shared" ref="B249:B255" si="12">+B248+1</f>
        <v>137</v>
      </c>
      <c r="C249" s="274"/>
      <c r="D249" s="269" t="s">
        <v>128</v>
      </c>
      <c r="E249" s="272" t="s">
        <v>433</v>
      </c>
      <c r="F249" s="660">
        <v>12679389</v>
      </c>
      <c r="G249" s="660">
        <v>1564544</v>
      </c>
      <c r="H249" s="314">
        <f>+F249+G249</f>
        <v>14243933</v>
      </c>
      <c r="I249" s="286" t="s">
        <v>129</v>
      </c>
      <c r="J249" s="287">
        <v>0</v>
      </c>
      <c r="K249" s="374"/>
      <c r="L249" s="285">
        <f>(F249+G249)*J249</f>
        <v>0</v>
      </c>
      <c r="M249" s="272"/>
    </row>
    <row r="250" spans="2:13">
      <c r="B250" s="273">
        <f t="shared" si="12"/>
        <v>138</v>
      </c>
      <c r="C250" s="274"/>
      <c r="D250" s="269" t="s">
        <v>130</v>
      </c>
      <c r="E250" s="272" t="s">
        <v>12</v>
      </c>
      <c r="F250" s="660">
        <v>18108</v>
      </c>
      <c r="G250" s="660">
        <v>3546753</v>
      </c>
      <c r="H250" s="314">
        <f>+F250+G250</f>
        <v>3564861</v>
      </c>
      <c r="I250" s="274" t="s">
        <v>122</v>
      </c>
      <c r="J250" s="287">
        <f>L239</f>
        <v>0.98662571930531895</v>
      </c>
      <c r="K250" s="374"/>
      <c r="L250" s="285">
        <f>(F250+G250)*J250</f>
        <v>3517183.5483484785</v>
      </c>
      <c r="M250" s="272"/>
    </row>
    <row r="251" spans="2:13">
      <c r="B251" s="273">
        <f t="shared" si="12"/>
        <v>139</v>
      </c>
      <c r="C251" s="274"/>
      <c r="D251" s="269" t="s">
        <v>228</v>
      </c>
      <c r="E251" s="272" t="s">
        <v>468</v>
      </c>
      <c r="F251" s="660">
        <v>0</v>
      </c>
      <c r="G251" s="660">
        <v>0</v>
      </c>
      <c r="H251" s="314">
        <f>+F251+G251</f>
        <v>0</v>
      </c>
      <c r="I251" s="286" t="s">
        <v>129</v>
      </c>
      <c r="J251" s="287">
        <v>0</v>
      </c>
      <c r="K251" s="374"/>
      <c r="L251" s="285">
        <f>(F251+G251)*J251</f>
        <v>0</v>
      </c>
      <c r="M251" s="272"/>
    </row>
    <row r="252" spans="2:13">
      <c r="B252" s="273" t="s">
        <v>1334</v>
      </c>
      <c r="C252" s="274"/>
      <c r="D252" s="269" t="s">
        <v>1335</v>
      </c>
      <c r="E252" s="272" t="s">
        <v>1336</v>
      </c>
      <c r="F252" s="660">
        <v>0</v>
      </c>
      <c r="G252" s="660">
        <v>0</v>
      </c>
      <c r="H252" s="314">
        <f t="shared" ref="H252" si="13">+F252+G252</f>
        <v>0</v>
      </c>
      <c r="I252" s="286" t="s">
        <v>1337</v>
      </c>
      <c r="J252" s="287">
        <f>L246</f>
        <v>1</v>
      </c>
      <c r="K252" s="374"/>
      <c r="L252" s="285">
        <f t="shared" ref="L252" si="14">(F252+G252)*J252</f>
        <v>0</v>
      </c>
      <c r="M252" s="272"/>
    </row>
    <row r="253" spans="2:13">
      <c r="B253" s="273">
        <f>+B251+1</f>
        <v>140</v>
      </c>
      <c r="C253" s="274"/>
      <c r="D253" s="269" t="s">
        <v>132</v>
      </c>
      <c r="E253" s="272" t="s">
        <v>431</v>
      </c>
      <c r="F253" s="660">
        <v>10014429</v>
      </c>
      <c r="G253" s="660">
        <v>1045907</v>
      </c>
      <c r="H253" s="314">
        <f>+F253+G253</f>
        <v>11060336</v>
      </c>
      <c r="I253" s="286" t="s">
        <v>129</v>
      </c>
      <c r="J253" s="287">
        <v>0</v>
      </c>
      <c r="K253" s="374"/>
      <c r="L253" s="285">
        <f>(F253+G253)*J253</f>
        <v>0</v>
      </c>
      <c r="M253" s="272"/>
    </row>
    <row r="254" spans="2:13" ht="15.75" thickBot="1">
      <c r="B254" s="273">
        <f t="shared" si="12"/>
        <v>141</v>
      </c>
      <c r="C254" s="274"/>
      <c r="D254" s="269" t="s">
        <v>203</v>
      </c>
      <c r="E254" s="272" t="s">
        <v>432</v>
      </c>
      <c r="F254" s="1034">
        <v>990719</v>
      </c>
      <c r="G254" s="1034">
        <v>2006357</v>
      </c>
      <c r="H254" s="375">
        <f>+F254+G254</f>
        <v>2997076</v>
      </c>
      <c r="I254" s="286" t="s">
        <v>129</v>
      </c>
      <c r="J254" s="287">
        <v>0</v>
      </c>
      <c r="K254" s="374"/>
      <c r="L254" s="320">
        <f>(F254+G254)*J254</f>
        <v>0</v>
      </c>
      <c r="M254" s="272"/>
    </row>
    <row r="255" spans="2:13" ht="15.75">
      <c r="B255" s="273">
        <f t="shared" si="12"/>
        <v>142</v>
      </c>
      <c r="C255" s="274"/>
      <c r="D255" s="269" t="s">
        <v>120</v>
      </c>
      <c r="E255" s="269" t="str">
        <f>"(sum lns "&amp;B249&amp;" to "&amp;B254&amp;")"</f>
        <v>(sum lns 137 to 141)</v>
      </c>
      <c r="F255" s="272">
        <f>SUM(F249:F254)</f>
        <v>23702645</v>
      </c>
      <c r="G255" s="272">
        <f>SUM(G249:G254)</f>
        <v>8163561</v>
      </c>
      <c r="H255" s="272">
        <f>SUM(H249:H254)</f>
        <v>31866206</v>
      </c>
      <c r="I255" s="286"/>
      <c r="J255" s="272"/>
      <c r="K255" s="272"/>
      <c r="L255" s="285">
        <f>SUM(L249:L254)</f>
        <v>3517183.5483484785</v>
      </c>
      <c r="M255" s="308"/>
    </row>
    <row r="256" spans="2:13">
      <c r="B256" s="273"/>
      <c r="C256" s="274"/>
      <c r="D256" s="269" t="s">
        <v>116</v>
      </c>
      <c r="E256" s="272" t="s">
        <v>116</v>
      </c>
      <c r="F256" s="272"/>
      <c r="H256" s="272"/>
      <c r="I256" s="338"/>
    </row>
    <row r="257" spans="2:21" ht="15.75">
      <c r="B257" s="273">
        <f>B255+1</f>
        <v>143</v>
      </c>
      <c r="C257" s="274"/>
      <c r="D257" s="269" t="s">
        <v>43</v>
      </c>
      <c r="E257" s="272"/>
      <c r="F257" s="272"/>
      <c r="G257" s="272"/>
      <c r="H257" s="272"/>
      <c r="I257" s="338"/>
      <c r="K257" s="376" t="s">
        <v>44</v>
      </c>
      <c r="L257" s="377">
        <f>L255/(F255+G255)</f>
        <v>0.11037346423821143</v>
      </c>
    </row>
    <row r="258" spans="2:21">
      <c r="B258" s="273"/>
      <c r="C258" s="274"/>
      <c r="D258" s="269"/>
      <c r="E258" s="272"/>
      <c r="F258" s="272"/>
      <c r="G258" s="272"/>
      <c r="H258" s="272"/>
      <c r="I258" s="286"/>
      <c r="J258" s="272"/>
      <c r="K258" s="272"/>
      <c r="L258" s="272"/>
      <c r="M258" s="272"/>
    </row>
    <row r="259" spans="2:21" ht="15.75">
      <c r="B259" s="273"/>
      <c r="C259" s="274"/>
      <c r="D259" s="269"/>
      <c r="E259" s="281"/>
      <c r="F259" s="272"/>
      <c r="H259" s="272"/>
      <c r="I259" s="272"/>
      <c r="J259" s="272"/>
      <c r="K259" s="313"/>
      <c r="L259" s="378"/>
      <c r="M259" s="272"/>
    </row>
    <row r="260" spans="2:21" ht="15.75" thickBot="1">
      <c r="B260" s="273">
        <f>+B257+1</f>
        <v>144</v>
      </c>
      <c r="C260" s="274"/>
      <c r="D260" s="269" t="s">
        <v>200</v>
      </c>
      <c r="E260" s="272"/>
      <c r="F260" s="272"/>
      <c r="G260" s="272"/>
      <c r="H260" s="272"/>
      <c r="I260" s="272"/>
      <c r="J260" s="272"/>
      <c r="K260" s="272"/>
      <c r="L260" s="379" t="s">
        <v>146</v>
      </c>
      <c r="M260" s="272"/>
    </row>
    <row r="261" spans="2:21">
      <c r="B261" s="273">
        <f t="shared" ref="B261:B268" si="15">+B260+1</f>
        <v>145</v>
      </c>
      <c r="C261" s="274"/>
      <c r="D261" s="272" t="s">
        <v>221</v>
      </c>
      <c r="E261" s="265" t="str">
        <f>"(Worksheet M, ln. "&amp;'WS M - Cost of Capital'!A56&amp;", col. "&amp;'WS M - Cost of Capital'!E47&amp;")"</f>
        <v>(Worksheet M, ln. 37, col. (d))</v>
      </c>
      <c r="F261" s="272"/>
      <c r="G261" s="272"/>
      <c r="H261" s="272"/>
      <c r="I261" s="272"/>
      <c r="J261" s="272"/>
      <c r="K261" s="272"/>
      <c r="L261" s="285">
        <f>'WS M - Cost of Capital'!E56</f>
        <v>66571431.689999998</v>
      </c>
      <c r="M261" s="272"/>
    </row>
    <row r="262" spans="2:21">
      <c r="B262" s="273">
        <f t="shared" si="15"/>
        <v>146</v>
      </c>
      <c r="C262" s="274"/>
      <c r="D262" s="272" t="s">
        <v>222</v>
      </c>
      <c r="E262" s="265" t="str">
        <f>"(Worksheet M, ln. "&amp;'WS M - Cost of Capital'!A103&amp;")"</f>
        <v>(Worksheet M, ln. 71)</v>
      </c>
      <c r="F262" s="272"/>
      <c r="G262" s="272"/>
      <c r="H262" s="272"/>
      <c r="I262" s="272"/>
      <c r="J262" s="272"/>
      <c r="K262" s="272"/>
      <c r="L262" s="285">
        <f>'WS M - Cost of Capital'!E103</f>
        <v>0</v>
      </c>
      <c r="M262" s="272"/>
    </row>
    <row r="263" spans="2:21">
      <c r="B263" s="273">
        <f t="shared" si="15"/>
        <v>147</v>
      </c>
      <c r="C263" s="274"/>
      <c r="D263" s="380" t="s">
        <v>244</v>
      </c>
      <c r="E263" s="272"/>
      <c r="F263" s="272"/>
      <c r="G263" s="272"/>
      <c r="H263"/>
      <c r="I263" s="272"/>
      <c r="J263" s="272"/>
      <c r="K263" s="272"/>
      <c r="L263" s="285"/>
      <c r="M263" s="272"/>
    </row>
    <row r="264" spans="2:21">
      <c r="B264" s="273">
        <f t="shared" si="15"/>
        <v>148</v>
      </c>
      <c r="C264" s="274"/>
      <c r="D264" s="272" t="s">
        <v>245</v>
      </c>
      <c r="E264" s="394" t="str">
        <f>"(Worksheet M, ln. "&amp;'WS M - Cost of Capital'!A23&amp;", col. "&amp;'WS M - Cost of Capital'!C8&amp;")"</f>
        <v>(Worksheet M, ln. 14, col. (b))</v>
      </c>
      <c r="F264" s="272"/>
      <c r="G264" s="269"/>
      <c r="H264" s="72"/>
      <c r="I264" s="272"/>
      <c r="J264" s="272"/>
      <c r="K264" s="272"/>
      <c r="L264" s="285">
        <f>'WS M - Cost of Capital'!C23</f>
        <v>1010355036.3303844</v>
      </c>
      <c r="M264" s="272"/>
    </row>
    <row r="265" spans="2:21">
      <c r="B265" s="273">
        <f t="shared" si="15"/>
        <v>149</v>
      </c>
      <c r="C265" s="274"/>
      <c r="D265" s="272" t="s">
        <v>370</v>
      </c>
      <c r="E265" s="394" t="str">
        <f>"(Worksheet M, ln. "&amp;'WS M - Cost of Capital'!A23&amp;", col. "&amp;'WS M - Cost of Capital'!D8&amp;")"</f>
        <v>(Worksheet M, ln. 14, col. (c))</v>
      </c>
      <c r="F265" s="272"/>
      <c r="G265" s="272"/>
      <c r="H265" s="72"/>
      <c r="I265" s="272"/>
      <c r="J265" s="272"/>
      <c r="K265" s="272"/>
      <c r="L265" s="314">
        <f>'WS M - Cost of Capital'!D23</f>
        <v>0</v>
      </c>
      <c r="M265" s="272"/>
    </row>
    <row r="266" spans="2:21">
      <c r="B266" s="273">
        <f>+B265+1</f>
        <v>150</v>
      </c>
      <c r="C266" s="274"/>
      <c r="D266" s="272" t="s">
        <v>363</v>
      </c>
      <c r="E266" s="394" t="str">
        <f>"(Worksheet M, ln. "&amp;'WS M - Cost of Capital'!A23&amp;", col. "&amp;'WS M - Cost of Capital'!E8&amp;")"</f>
        <v>(Worksheet M, ln. 14, col. (d))</v>
      </c>
      <c r="F266" s="272"/>
      <c r="G266" s="272"/>
      <c r="H266" s="72"/>
      <c r="I266" s="272"/>
      <c r="J266" s="272"/>
      <c r="K266" s="272"/>
      <c r="L266" s="314">
        <f>'WS M - Cost of Capital'!E23</f>
        <v>0</v>
      </c>
      <c r="M266" s="272"/>
    </row>
    <row r="267" spans="2:21" ht="15.75" thickBot="1">
      <c r="B267" s="273">
        <f t="shared" si="15"/>
        <v>151</v>
      </c>
      <c r="C267" s="274"/>
      <c r="D267" s="272" t="s">
        <v>369</v>
      </c>
      <c r="E267" s="394" t="str">
        <f>"(Worksheet M, ln. "&amp;'WS M - Cost of Capital'!A23&amp;", col. "&amp;'WS M - Cost of Capital'!F8&amp;")"</f>
        <v>(Worksheet M, ln. 14, col. (e))</v>
      </c>
      <c r="F267" s="272"/>
      <c r="G267" s="272"/>
      <c r="H267" s="72"/>
      <c r="I267" s="272"/>
      <c r="J267" s="333"/>
      <c r="K267" s="272"/>
      <c r="L267" s="375">
        <f>'WS M - Cost of Capital'!F23</f>
        <v>0</v>
      </c>
      <c r="M267" s="272"/>
    </row>
    <row r="268" spans="2:21">
      <c r="B268" s="273">
        <f t="shared" si="15"/>
        <v>152</v>
      </c>
      <c r="C268" s="274"/>
      <c r="D268" s="265" t="s">
        <v>246</v>
      </c>
      <c r="E268" s="272" t="str">
        <f>"(ln "&amp;B264&amp;" - ln "&amp;B265&amp;" - ln "&amp;B266&amp;" - ln "&amp;B267&amp;")"</f>
        <v>(ln 148 - ln 149 - ln 150 - ln 151)</v>
      </c>
      <c r="F268" s="281"/>
      <c r="H268" s="269"/>
      <c r="I268" s="269"/>
      <c r="J268" s="269"/>
      <c r="K268" s="269"/>
      <c r="L268" s="285">
        <f>+L264-L265-L266-L267</f>
        <v>1010355036.3303844</v>
      </c>
      <c r="M268" s="272"/>
    </row>
    <row r="269" spans="2:21" ht="15.75">
      <c r="B269" s="273"/>
      <c r="C269" s="274"/>
      <c r="D269" s="269"/>
      <c r="E269" s="272"/>
      <c r="F269" s="272"/>
      <c r="G269" s="1192" t="s">
        <v>907</v>
      </c>
      <c r="H269" s="1192"/>
      <c r="I269" s="1192"/>
      <c r="J269" s="381" t="s">
        <v>147</v>
      </c>
      <c r="K269" s="272"/>
      <c r="L269" s="272"/>
      <c r="M269" s="272"/>
    </row>
    <row r="270" spans="2:21" ht="15.75" thickBot="1">
      <c r="B270" s="273">
        <f>+B268+1</f>
        <v>153</v>
      </c>
      <c r="C270" s="274"/>
      <c r="D270" s="269"/>
      <c r="F270" s="272"/>
      <c r="G270" s="280" t="s">
        <v>146</v>
      </c>
      <c r="H270" s="280" t="s">
        <v>148</v>
      </c>
      <c r="I270" s="379" t="s">
        <v>906</v>
      </c>
      <c r="J270" s="382" t="s">
        <v>429</v>
      </c>
      <c r="K270" s="272"/>
      <c r="L270" s="280" t="s">
        <v>149</v>
      </c>
      <c r="M270" s="272"/>
      <c r="N270" s="269"/>
      <c r="O270" s="269"/>
      <c r="P270" s="269"/>
      <c r="Q270" s="269"/>
      <c r="R270" s="269"/>
      <c r="S270" s="269"/>
      <c r="T270" s="269"/>
      <c r="U270" s="269"/>
    </row>
    <row r="271" spans="2:21">
      <c r="B271" s="273">
        <f>+B270+1</f>
        <v>154</v>
      </c>
      <c r="C271" s="274"/>
      <c r="D271" s="394" t="str">
        <f>"  Long Term Debt  (Note T) Worksheet M, ln "&amp;'WS M - Cost of Capital'!A42&amp;", col. (g), ln "&amp;'WS M - Cost of Capital'!A58&amp;", col. "&amp;'WS M - Cost of Capital'!E47&amp;")"</f>
        <v xml:space="preserve">  Long Term Debt  (Note T) Worksheet M, ln 28, col. (g), ln 38, col. (d))</v>
      </c>
      <c r="E271" s="394"/>
      <c r="F271" s="272"/>
      <c r="G271" s="285">
        <f>'WS M - Cost of Capital'!H42</f>
        <v>1191923076.9230769</v>
      </c>
      <c r="H271" s="295">
        <f>IF($G$274&gt;0,G271/$G$274,0)</f>
        <v>0.5412227773367958</v>
      </c>
      <c r="I271" s="295">
        <f>IF(H273&gt;E276,1-I272-I273,H271)</f>
        <v>0.5412227773367958</v>
      </c>
      <c r="J271" s="333">
        <f>'WS M - Cost of Capital'!E58</f>
        <v>5.5852120811229429E-2</v>
      </c>
      <c r="L271" s="384">
        <f>I271*J271</f>
        <v>3.0228439945603845E-2</v>
      </c>
      <c r="M271" s="385"/>
      <c r="N271" s="269"/>
      <c r="O271" s="269"/>
      <c r="P271" s="269"/>
      <c r="Q271" s="269"/>
      <c r="R271" s="269"/>
      <c r="S271" s="269"/>
      <c r="T271" s="269"/>
      <c r="U271" s="269"/>
    </row>
    <row r="272" spans="2:21">
      <c r="B272" s="273">
        <f>+B271+1</f>
        <v>155</v>
      </c>
      <c r="C272" s="274"/>
      <c r="D272" s="269" t="str">
        <f>"  Preferred Stock (ln "&amp;B265&amp;")"</f>
        <v xml:space="preserve">  Preferred Stock (ln 149)</v>
      </c>
      <c r="G272" s="285">
        <f>+L265</f>
        <v>0</v>
      </c>
      <c r="H272" s="295">
        <f>IF($G$274&gt;0,G272/$G$274,0)</f>
        <v>0</v>
      </c>
      <c r="I272" s="295">
        <f>H272</f>
        <v>0</v>
      </c>
      <c r="J272" s="383">
        <f>IF(G272&gt;0,L262/G272,0)</f>
        <v>0</v>
      </c>
      <c r="L272" s="386">
        <f>I272*J272</f>
        <v>0</v>
      </c>
      <c r="M272" s="272"/>
    </row>
    <row r="273" spans="2:21" ht="15.75" thickBot="1">
      <c r="B273" s="273">
        <f>+B272+1</f>
        <v>156</v>
      </c>
      <c r="C273" s="274"/>
      <c r="D273" s="269" t="str">
        <f>"  Common Stock (ln "&amp;B268&amp;")"</f>
        <v xml:space="preserve">  Common Stock (ln 152)</v>
      </c>
      <c r="G273" s="320">
        <f>+L268</f>
        <v>1010355036.3303844</v>
      </c>
      <c r="H273" s="295">
        <f>IF($G$274&gt;0,G273/$G$274,0)</f>
        <v>0.45877722266320414</v>
      </c>
      <c r="I273" s="295">
        <f>IF(H273&gt;E276,E276,H273)</f>
        <v>0.45877722266320414</v>
      </c>
      <c r="J273" s="1035">
        <v>0.10349999999999999</v>
      </c>
      <c r="L273" s="387">
        <f>I273*J273</f>
        <v>4.748344254564163E-2</v>
      </c>
      <c r="M273" s="272"/>
    </row>
    <row r="274" spans="2:21" ht="15.75">
      <c r="B274" s="273">
        <f>+B273+1</f>
        <v>157</v>
      </c>
      <c r="C274" s="274"/>
      <c r="D274" s="269" t="str">
        <f>" Total (Sum lns "&amp;B271&amp;" to "&amp;B273&amp;")"</f>
        <v xml:space="preserve"> Total (Sum lns 154 to 156)</v>
      </c>
      <c r="G274" s="285">
        <f>G273+G272+G271</f>
        <v>2202278113.2534614</v>
      </c>
      <c r="I274" s="352"/>
      <c r="J274" s="388"/>
      <c r="K274" s="330" t="s">
        <v>25</v>
      </c>
      <c r="L274" s="389">
        <f>SUM(L271:L273)</f>
        <v>7.7711882491245471E-2</v>
      </c>
      <c r="M274" s="390"/>
    </row>
    <row r="275" spans="2:21" ht="15.75">
      <c r="B275" s="273"/>
      <c r="C275" s="274"/>
      <c r="D275" s="269"/>
      <c r="G275" s="285"/>
      <c r="I275" s="352"/>
      <c r="J275" s="388"/>
      <c r="K275" s="330"/>
      <c r="L275" s="389"/>
      <c r="M275" s="390"/>
    </row>
    <row r="276" spans="2:21" ht="15.75">
      <c r="B276" s="273">
        <f>B274+1</f>
        <v>158</v>
      </c>
      <c r="C276" s="2"/>
      <c r="D276" s="2" t="s">
        <v>905</v>
      </c>
      <c r="E276" s="961">
        <v>0.55000000000000004</v>
      </c>
      <c r="G276" s="285"/>
      <c r="I276" s="352"/>
      <c r="J276" s="388"/>
      <c r="K276" s="330"/>
      <c r="L276" s="389"/>
      <c r="M276" s="390"/>
    </row>
    <row r="277" spans="2:21">
      <c r="B277" s="273"/>
      <c r="C277" s="72"/>
      <c r="D277" s="72"/>
      <c r="E277"/>
      <c r="F277"/>
      <c r="G277"/>
      <c r="H277"/>
      <c r="I277"/>
      <c r="J277" s="272"/>
      <c r="K277" s="269"/>
      <c r="L277" s="272"/>
      <c r="M277" s="269"/>
      <c r="N277" s="269"/>
      <c r="O277" s="269"/>
      <c r="P277" s="269"/>
      <c r="Q277" s="269"/>
      <c r="R277" s="269"/>
      <c r="S277" s="269"/>
      <c r="T277" s="269"/>
      <c r="U277" s="269"/>
    </row>
    <row r="278" spans="2:21" ht="15.75">
      <c r="B278" s="336"/>
      <c r="C278" s="274"/>
      <c r="D278" s="266"/>
      <c r="E278" s="266"/>
      <c r="F278" s="338" t="str">
        <f>F224</f>
        <v xml:space="preserve">AEP East Companies </v>
      </c>
      <c r="G278" s="267"/>
      <c r="H278" s="272"/>
      <c r="I278" s="272"/>
      <c r="J278" s="272"/>
      <c r="K278" s="269"/>
      <c r="L278" s="272"/>
      <c r="M278" s="304"/>
      <c r="N278" s="269"/>
      <c r="O278" s="269"/>
      <c r="P278" s="269"/>
      <c r="Q278" s="269"/>
      <c r="R278" s="269"/>
      <c r="S278" s="269"/>
      <c r="T278" s="269"/>
      <c r="U278" s="269"/>
    </row>
    <row r="279" spans="2:21">
      <c r="B279" s="336"/>
      <c r="C279" s="274"/>
      <c r="E279" s="274"/>
      <c r="F279" s="338" t="str">
        <f>F225</f>
        <v>Transmission Cost of Service Formula Rate</v>
      </c>
      <c r="G279" s="272"/>
      <c r="H279" s="272"/>
      <c r="I279" s="272"/>
      <c r="J279" s="272"/>
      <c r="K279" s="269"/>
      <c r="L279" s="282"/>
      <c r="M279" s="304"/>
      <c r="N279" s="269"/>
      <c r="O279" s="269"/>
      <c r="P279" s="269"/>
      <c r="Q279" s="269"/>
      <c r="R279" s="269"/>
      <c r="S279" s="269"/>
      <c r="T279" s="269"/>
      <c r="U279" s="269"/>
    </row>
    <row r="280" spans="2:21" ht="15.75">
      <c r="B280" s="336"/>
      <c r="C280" s="274"/>
      <c r="E280" s="339"/>
      <c r="F280" s="338" t="str">
        <f>F226</f>
        <v>Utilizing  Actual/Projected FERC Form 1 Data</v>
      </c>
      <c r="G280" s="272"/>
      <c r="H280" s="272"/>
      <c r="I280" s="272"/>
      <c r="J280" s="272"/>
      <c r="K280" s="269"/>
      <c r="L280" s="282"/>
      <c r="M280" s="304"/>
      <c r="N280" s="269"/>
      <c r="O280" s="269"/>
      <c r="P280" s="269"/>
      <c r="Q280" s="269"/>
      <c r="R280" s="269"/>
      <c r="S280" s="269"/>
      <c r="T280" s="269"/>
      <c r="U280" s="269"/>
    </row>
    <row r="281" spans="2:21" ht="15.75">
      <c r="B281" s="273"/>
      <c r="C281" s="274"/>
      <c r="E281" s="339"/>
      <c r="F281" s="338"/>
      <c r="G281" s="272"/>
      <c r="H281" s="272"/>
      <c r="I281" s="272"/>
      <c r="J281" s="272"/>
      <c r="K281" s="269"/>
      <c r="L281" s="282"/>
      <c r="N281" s="269"/>
      <c r="O281" s="269"/>
      <c r="P281" s="269"/>
      <c r="Q281" s="269"/>
      <c r="R281" s="269"/>
      <c r="S281" s="269"/>
      <c r="T281" s="269"/>
      <c r="U281" s="269"/>
    </row>
    <row r="282" spans="2:21" ht="15.75">
      <c r="B282" s="273"/>
      <c r="C282" s="274"/>
      <c r="E282" s="339"/>
      <c r="F282" s="338" t="str">
        <f>F228</f>
        <v>KENTUCKY POWER COMPANY</v>
      </c>
      <c r="G282" s="272"/>
      <c r="H282" s="272"/>
      <c r="I282" s="272"/>
      <c r="J282" s="272"/>
      <c r="K282" s="269"/>
      <c r="L282" s="282"/>
      <c r="N282" s="269"/>
      <c r="O282" s="269"/>
      <c r="P282" s="269"/>
      <c r="Q282" s="269"/>
      <c r="R282" s="269"/>
      <c r="S282" s="269"/>
      <c r="T282" s="269"/>
      <c r="U282" s="269"/>
    </row>
    <row r="283" spans="2:21" ht="15.75">
      <c r="B283" s="273"/>
      <c r="C283" s="274"/>
      <c r="E283" s="339"/>
      <c r="F283" s="338"/>
      <c r="G283" s="272"/>
      <c r="H283" s="272"/>
      <c r="I283" s="272"/>
      <c r="J283" s="272"/>
      <c r="K283" s="269"/>
      <c r="L283" s="282"/>
      <c r="N283" s="269"/>
      <c r="O283" s="269"/>
      <c r="P283" s="269"/>
      <c r="Q283" s="269"/>
      <c r="R283" s="269"/>
      <c r="S283" s="269"/>
      <c r="T283" s="269"/>
      <c r="U283" s="269"/>
    </row>
    <row r="284" spans="2:21" ht="15.75">
      <c r="B284" s="312" t="s">
        <v>178</v>
      </c>
      <c r="C284" s="274"/>
      <c r="D284" s="269"/>
      <c r="E284" s="269"/>
      <c r="F284" s="312" t="s">
        <v>177</v>
      </c>
      <c r="G284" s="272"/>
      <c r="H284" s="272"/>
      <c r="I284" s="272"/>
      <c r="J284" s="272"/>
      <c r="K284" s="269"/>
      <c r="L284" s="272"/>
      <c r="N284" s="269"/>
      <c r="O284" s="269"/>
      <c r="P284" s="269"/>
      <c r="Q284" s="269"/>
      <c r="R284" s="269"/>
      <c r="S284" s="269"/>
      <c r="T284" s="269"/>
      <c r="U284" s="269"/>
    </row>
    <row r="285" spans="2:21">
      <c r="C285" s="274"/>
      <c r="L285" s="282"/>
      <c r="N285" s="269"/>
      <c r="O285" s="269"/>
      <c r="P285" s="269"/>
      <c r="Q285" s="269"/>
      <c r="R285" s="269"/>
      <c r="S285" s="269"/>
      <c r="T285" s="269"/>
      <c r="U285" s="269"/>
    </row>
    <row r="286" spans="2:21">
      <c r="B286" s="273"/>
      <c r="C286" s="274"/>
      <c r="D286" s="269" t="s">
        <v>5</v>
      </c>
      <c r="E286" s="274"/>
      <c r="F286" s="274"/>
      <c r="G286" s="272"/>
      <c r="H286" s="272"/>
      <c r="I286" s="272"/>
      <c r="J286" s="272"/>
      <c r="K286" s="269"/>
      <c r="L286" s="272"/>
      <c r="M286" s="269"/>
      <c r="N286" s="269"/>
      <c r="O286" s="269"/>
      <c r="P286" s="269"/>
      <c r="Q286" s="269"/>
      <c r="R286" s="269"/>
      <c r="S286" s="269"/>
      <c r="T286" s="269"/>
      <c r="U286" s="269"/>
    </row>
    <row r="287" spans="2:21">
      <c r="B287" s="265"/>
      <c r="D287" s="269"/>
      <c r="E287" s="269"/>
      <c r="F287" s="269"/>
      <c r="G287" s="272"/>
      <c r="H287" s="272"/>
      <c r="I287" s="272"/>
      <c r="J287" s="272"/>
      <c r="K287" s="269"/>
      <c r="L287" s="272"/>
      <c r="M287" s="269"/>
      <c r="N287" s="269"/>
      <c r="O287" s="269"/>
      <c r="P287" s="269"/>
      <c r="Q287" s="269"/>
      <c r="R287" s="269"/>
      <c r="S287" s="269"/>
      <c r="T287" s="269"/>
      <c r="U287" s="269"/>
    </row>
    <row r="288" spans="2:21" ht="3.75" customHeight="1">
      <c r="B288" s="265"/>
      <c r="D288" s="269"/>
      <c r="E288" s="269"/>
      <c r="F288" s="269"/>
      <c r="G288" s="272"/>
      <c r="H288" s="272"/>
      <c r="I288" s="272"/>
      <c r="J288" s="272"/>
      <c r="K288" s="269"/>
      <c r="L288" s="272"/>
      <c r="M288" s="269"/>
      <c r="N288" s="269"/>
      <c r="O288" s="269"/>
      <c r="P288" s="269"/>
      <c r="Q288" s="269"/>
      <c r="R288" s="269"/>
      <c r="S288" s="269"/>
      <c r="T288" s="269"/>
      <c r="U288" s="269"/>
    </row>
    <row r="289" spans="2:21">
      <c r="B289" s="391" t="s">
        <v>150</v>
      </c>
      <c r="C289" s="274"/>
      <c r="D289" s="269" t="s">
        <v>479</v>
      </c>
      <c r="E289" s="269"/>
      <c r="F289" s="269"/>
      <c r="G289" s="272"/>
      <c r="H289" s="272"/>
      <c r="I289" s="272"/>
      <c r="J289" s="272"/>
      <c r="K289" s="269"/>
      <c r="L289" s="272"/>
      <c r="M289" s="269"/>
      <c r="N289" s="269"/>
      <c r="O289" s="269"/>
      <c r="P289" s="269"/>
      <c r="Q289" s="269"/>
      <c r="R289" s="269"/>
      <c r="S289" s="269"/>
      <c r="T289" s="269"/>
      <c r="U289" s="269"/>
    </row>
    <row r="290" spans="2:21">
      <c r="B290" s="391"/>
      <c r="C290" s="338"/>
      <c r="D290" s="269" t="s">
        <v>371</v>
      </c>
      <c r="E290" s="269"/>
      <c r="F290" s="269"/>
      <c r="G290" s="269"/>
      <c r="H290" s="269"/>
      <c r="I290" s="269"/>
      <c r="J290" s="269"/>
      <c r="K290" s="269"/>
      <c r="L290" s="269"/>
      <c r="M290" s="269"/>
      <c r="N290" s="269"/>
      <c r="O290" s="269"/>
      <c r="P290" s="269"/>
      <c r="Q290" s="269"/>
      <c r="R290" s="269"/>
      <c r="S290" s="269"/>
      <c r="T290" s="269"/>
      <c r="U290" s="269"/>
    </row>
    <row r="291" spans="2:21">
      <c r="D291" s="265" t="s">
        <v>372</v>
      </c>
      <c r="E291" s="295"/>
      <c r="F291" s="295"/>
      <c r="G291" s="269"/>
      <c r="H291" s="269"/>
      <c r="I291" s="269"/>
      <c r="J291" s="269"/>
      <c r="K291" s="269"/>
      <c r="L291" s="269"/>
      <c r="M291" s="269"/>
      <c r="N291" s="269"/>
      <c r="O291" s="269"/>
      <c r="P291" s="269"/>
      <c r="Q291" s="269"/>
      <c r="R291" s="269"/>
      <c r="S291" s="269"/>
      <c r="T291" s="269"/>
      <c r="U291" s="269"/>
    </row>
    <row r="292" spans="2:21">
      <c r="D292" s="269" t="s">
        <v>480</v>
      </c>
      <c r="E292" s="269"/>
      <c r="F292" s="269"/>
      <c r="G292" s="269"/>
      <c r="H292" s="269"/>
      <c r="I292" s="269"/>
      <c r="J292" s="269"/>
      <c r="K292" s="269"/>
      <c r="L292" s="269"/>
      <c r="M292" s="269"/>
      <c r="N292" s="269"/>
      <c r="O292" s="269"/>
      <c r="P292" s="269"/>
      <c r="Q292" s="269"/>
      <c r="R292" s="269"/>
      <c r="S292" s="269"/>
      <c r="T292" s="269"/>
      <c r="U292" s="269"/>
    </row>
    <row r="293" spans="2:21">
      <c r="B293" s="273"/>
      <c r="C293" s="274"/>
      <c r="D293" s="269" t="s">
        <v>481</v>
      </c>
      <c r="E293" s="269"/>
      <c r="F293" s="269"/>
      <c r="G293" s="269"/>
      <c r="H293" s="269"/>
      <c r="I293" s="269"/>
      <c r="J293" s="269"/>
      <c r="K293" s="269"/>
      <c r="L293" s="269"/>
      <c r="M293" s="269"/>
      <c r="N293" s="269"/>
      <c r="O293" s="269"/>
      <c r="P293" s="269"/>
      <c r="Q293" s="269"/>
      <c r="R293" s="269"/>
      <c r="S293" s="269"/>
      <c r="T293" s="269"/>
      <c r="U293" s="269"/>
    </row>
    <row r="294" spans="2:21">
      <c r="B294" s="273"/>
      <c r="C294" s="274"/>
      <c r="D294" s="269" t="s">
        <v>373</v>
      </c>
      <c r="E294" s="269"/>
      <c r="F294" s="269"/>
      <c r="G294" s="269"/>
      <c r="H294" s="269"/>
      <c r="I294" s="269"/>
      <c r="J294" s="269"/>
      <c r="K294" s="269"/>
      <c r="L294" s="269"/>
      <c r="M294" s="269"/>
      <c r="N294" s="269"/>
      <c r="O294" s="269"/>
      <c r="P294" s="269"/>
      <c r="Q294" s="269"/>
      <c r="R294" s="269"/>
      <c r="S294" s="269"/>
      <c r="T294" s="269"/>
      <c r="U294" s="269"/>
    </row>
    <row r="295" spans="2:21">
      <c r="B295" s="273"/>
      <c r="C295" s="274"/>
      <c r="D295" s="269" t="s">
        <v>374</v>
      </c>
      <c r="E295" s="269"/>
      <c r="F295" s="269"/>
      <c r="G295" s="269"/>
      <c r="H295" s="269"/>
      <c r="I295" s="269"/>
      <c r="J295" s="269"/>
      <c r="K295" s="269"/>
      <c r="L295" s="269"/>
      <c r="M295" s="269"/>
      <c r="N295" s="269"/>
      <c r="O295" s="269"/>
      <c r="P295" s="269"/>
      <c r="Q295" s="269"/>
      <c r="R295" s="269"/>
      <c r="S295" s="269"/>
      <c r="T295" s="269"/>
      <c r="U295" s="269"/>
    </row>
    <row r="296" spans="2:21" ht="45" customHeight="1">
      <c r="B296" s="273"/>
      <c r="C296" s="274"/>
      <c r="D296" s="1193" t="s">
        <v>577</v>
      </c>
      <c r="E296" s="1193"/>
      <c r="F296" s="1193"/>
      <c r="G296" s="1193"/>
      <c r="H296" s="1193"/>
      <c r="I296" s="1193"/>
      <c r="J296" s="1193"/>
      <c r="K296" s="1193"/>
      <c r="L296" s="1193"/>
      <c r="M296" s="269"/>
      <c r="N296" s="269"/>
      <c r="O296" s="269"/>
      <c r="P296" s="269"/>
      <c r="Q296" s="269"/>
      <c r="R296" s="269"/>
      <c r="S296" s="269"/>
      <c r="T296" s="269"/>
      <c r="U296" s="269"/>
    </row>
    <row r="297" spans="2:21">
      <c r="B297" s="273"/>
      <c r="C297" s="274"/>
      <c r="D297" s="269" t="s">
        <v>489</v>
      </c>
      <c r="E297" s="269"/>
      <c r="F297" s="269"/>
      <c r="G297" s="269"/>
      <c r="H297" s="269"/>
      <c r="I297" s="269"/>
      <c r="J297" s="269"/>
      <c r="K297" s="269"/>
      <c r="L297" s="269"/>
      <c r="M297" s="269"/>
      <c r="N297" s="269"/>
      <c r="O297" s="269"/>
      <c r="P297" s="269"/>
      <c r="Q297" s="269"/>
      <c r="R297" s="269"/>
      <c r="S297" s="269"/>
      <c r="T297" s="269"/>
      <c r="U297" s="269"/>
    </row>
    <row r="298" spans="2:21">
      <c r="B298" s="273"/>
      <c r="C298" s="274"/>
      <c r="D298" s="2"/>
      <c r="E298" s="269"/>
      <c r="F298" s="269"/>
      <c r="G298" s="269"/>
      <c r="H298" s="269"/>
      <c r="I298" s="269"/>
      <c r="J298" s="269"/>
      <c r="K298" s="269"/>
      <c r="L298" s="269"/>
      <c r="M298" s="269"/>
      <c r="N298" s="269"/>
      <c r="O298" s="269"/>
      <c r="P298" s="269"/>
      <c r="Q298" s="269"/>
      <c r="R298" s="269"/>
      <c r="S298" s="269"/>
      <c r="T298" s="269"/>
      <c r="U298" s="269"/>
    </row>
    <row r="299" spans="2:21" ht="15" customHeight="1">
      <c r="B299" s="273" t="s">
        <v>151</v>
      </c>
      <c r="C299" s="274"/>
      <c r="D299" s="1197" t="s">
        <v>595</v>
      </c>
      <c r="E299" s="1198"/>
      <c r="F299" s="1198"/>
      <c r="G299" s="1198"/>
      <c r="H299" s="1198"/>
      <c r="I299" s="1198"/>
      <c r="J299" s="1198"/>
      <c r="K299" s="1198"/>
      <c r="L299" s="269"/>
      <c r="M299" s="269"/>
      <c r="N299" s="269"/>
      <c r="O299" s="269"/>
      <c r="P299" s="269"/>
      <c r="Q299" s="269"/>
      <c r="R299" s="269"/>
      <c r="S299" s="269"/>
      <c r="T299" s="269"/>
      <c r="U299" s="269"/>
    </row>
    <row r="300" spans="2:21">
      <c r="B300" s="273"/>
      <c r="C300" s="274"/>
      <c r="D300" s="1198"/>
      <c r="E300" s="1198"/>
      <c r="F300" s="1198"/>
      <c r="G300" s="1198"/>
      <c r="H300" s="1198"/>
      <c r="I300" s="1198"/>
      <c r="J300" s="1198"/>
      <c r="K300" s="1198"/>
      <c r="L300" s="269"/>
      <c r="M300" s="269"/>
      <c r="N300" s="269"/>
      <c r="O300" s="269"/>
      <c r="P300" s="269"/>
      <c r="Q300" s="269"/>
      <c r="R300" s="269"/>
      <c r="S300" s="269"/>
      <c r="T300" s="269"/>
      <c r="U300" s="269"/>
    </row>
    <row r="301" spans="2:21">
      <c r="E301" s="269"/>
      <c r="F301" s="269"/>
      <c r="G301" s="269"/>
      <c r="H301" s="269"/>
      <c r="I301" s="269"/>
      <c r="J301" s="269"/>
      <c r="K301" s="269"/>
      <c r="L301" s="269"/>
      <c r="M301" s="269"/>
      <c r="N301" s="269"/>
      <c r="O301" s="269"/>
      <c r="P301" s="269"/>
      <c r="Q301" s="269"/>
      <c r="R301" s="269"/>
      <c r="S301" s="269"/>
      <c r="T301" s="269"/>
      <c r="U301" s="269"/>
    </row>
    <row r="302" spans="2:21">
      <c r="B302" s="273" t="s">
        <v>152</v>
      </c>
      <c r="C302" s="274"/>
      <c r="D302" s="2" t="s">
        <v>867</v>
      </c>
      <c r="E302" s="269"/>
      <c r="F302" s="269"/>
      <c r="G302" s="269"/>
      <c r="H302" s="269"/>
      <c r="I302" s="269"/>
      <c r="J302" s="269"/>
      <c r="K302" s="269"/>
      <c r="L302" s="269"/>
      <c r="M302" s="269"/>
      <c r="N302" s="269"/>
      <c r="O302" s="269"/>
      <c r="P302" s="269"/>
      <c r="Q302" s="269"/>
      <c r="R302" s="269"/>
      <c r="S302" s="269"/>
      <c r="T302" s="269"/>
      <c r="U302" s="269"/>
    </row>
    <row r="303" spans="2:21">
      <c r="B303" s="273"/>
      <c r="C303" s="274"/>
      <c r="D303" s="2"/>
      <c r="E303" s="269"/>
      <c r="F303" s="269"/>
      <c r="G303" s="269"/>
      <c r="H303" s="269"/>
      <c r="I303" s="269"/>
      <c r="J303" s="269"/>
      <c r="K303" s="269"/>
      <c r="L303" s="269"/>
      <c r="M303" s="269"/>
      <c r="N303" s="269"/>
      <c r="O303" s="269"/>
      <c r="P303" s="269"/>
      <c r="Q303" s="269"/>
      <c r="R303" s="269"/>
      <c r="S303" s="269"/>
      <c r="T303" s="269"/>
      <c r="U303" s="269"/>
    </row>
    <row r="304" spans="2:21">
      <c r="B304" s="273" t="s">
        <v>153</v>
      </c>
      <c r="C304" s="274"/>
      <c r="D304" s="1193" t="s">
        <v>579</v>
      </c>
      <c r="E304" s="1193"/>
      <c r="F304" s="1193"/>
      <c r="G304" s="1193"/>
      <c r="H304" s="1193"/>
      <c r="I304" s="1193"/>
      <c r="J304" s="1193"/>
      <c r="K304" s="1193"/>
      <c r="L304" s="1193"/>
      <c r="M304" s="269"/>
      <c r="N304" s="269"/>
      <c r="O304" s="269"/>
      <c r="P304" s="269"/>
      <c r="Q304" s="269"/>
      <c r="R304" s="269"/>
      <c r="S304" s="269"/>
      <c r="T304" s="269"/>
      <c r="U304" s="269"/>
    </row>
    <row r="305" spans="2:21">
      <c r="B305" s="273"/>
      <c r="C305" s="274"/>
      <c r="D305" s="1193"/>
      <c r="E305" s="1193"/>
      <c r="F305" s="1193"/>
      <c r="G305" s="1193"/>
      <c r="H305" s="1193"/>
      <c r="I305" s="1193"/>
      <c r="J305" s="1193"/>
      <c r="K305" s="1193"/>
      <c r="L305" s="1193"/>
      <c r="M305" s="269"/>
      <c r="N305" s="269"/>
      <c r="O305" s="269"/>
      <c r="P305" s="269"/>
      <c r="Q305" s="269"/>
      <c r="R305" s="269"/>
      <c r="S305" s="269"/>
      <c r="T305" s="269"/>
      <c r="U305" s="269"/>
    </row>
    <row r="306" spans="2:21">
      <c r="B306" s="273"/>
      <c r="C306" s="274"/>
      <c r="D306" s="269" t="s">
        <v>580</v>
      </c>
      <c r="E306" s="269"/>
      <c r="F306" s="269"/>
      <c r="G306" s="269"/>
      <c r="H306" s="269"/>
      <c r="I306" s="269"/>
      <c r="J306" s="269"/>
      <c r="K306" s="269"/>
      <c r="L306" s="269"/>
      <c r="M306" s="269"/>
      <c r="N306" s="269"/>
      <c r="O306" s="269"/>
      <c r="P306" s="269"/>
      <c r="Q306" s="269"/>
      <c r="R306" s="269"/>
      <c r="S306" s="269"/>
      <c r="T306" s="269"/>
      <c r="U306" s="269"/>
    </row>
    <row r="307" spans="2:21">
      <c r="B307" s="273"/>
      <c r="C307" s="274"/>
      <c r="D307" s="269" t="s">
        <v>581</v>
      </c>
      <c r="E307" s="269"/>
      <c r="F307" s="269"/>
      <c r="G307" s="269"/>
      <c r="H307" s="269"/>
      <c r="I307" s="269"/>
      <c r="J307" s="269"/>
      <c r="K307" s="269"/>
      <c r="L307" s="269"/>
      <c r="M307" s="269"/>
      <c r="N307" s="269"/>
      <c r="O307" s="269"/>
      <c r="P307" s="269"/>
      <c r="Q307" s="269"/>
      <c r="R307" s="269"/>
      <c r="S307" s="269"/>
      <c r="T307" s="269"/>
      <c r="U307" s="269"/>
    </row>
    <row r="308" spans="2:21" ht="30" customHeight="1">
      <c r="B308" s="273"/>
      <c r="C308" s="274"/>
      <c r="D308" s="1193" t="s">
        <v>578</v>
      </c>
      <c r="E308" s="1193"/>
      <c r="F308" s="1193"/>
      <c r="G308" s="1193"/>
      <c r="H308" s="1193"/>
      <c r="I308" s="1193"/>
      <c r="J308" s="1193"/>
      <c r="K308" s="1193"/>
      <c r="L308" s="1193"/>
      <c r="M308" s="269"/>
      <c r="N308" s="269"/>
      <c r="O308" s="269"/>
      <c r="P308" s="269"/>
      <c r="Q308" s="269"/>
      <c r="R308" s="269"/>
      <c r="S308" s="269"/>
      <c r="T308" s="269"/>
      <c r="U308" s="269"/>
    </row>
    <row r="309" spans="2:21" ht="21.75" customHeight="1">
      <c r="B309" s="273" t="s">
        <v>154</v>
      </c>
      <c r="C309" s="269"/>
      <c r="D309" s="269" t="str">
        <f>"Cash Working Capital assigned to transmission is one-eighth of O&amp;M allocated to transmission, as shown on line "&amp;B155&amp;". It excludes:"</f>
        <v>Cash Working Capital assigned to transmission is one-eighth of O&amp;M allocated to transmission, as shown on line 78. It excludes:</v>
      </c>
      <c r="E309" s="4"/>
      <c r="F309" s="4"/>
      <c r="G309" s="4"/>
      <c r="H309" s="4"/>
      <c r="I309" s="4"/>
      <c r="J309" s="4"/>
      <c r="K309" s="4"/>
      <c r="L309" s="4"/>
      <c r="M309" s="269"/>
      <c r="N309" s="269"/>
      <c r="O309" s="269"/>
      <c r="P309" s="269"/>
      <c r="Q309" s="269"/>
      <c r="R309" s="269"/>
      <c r="S309" s="269"/>
      <c r="T309" s="269"/>
      <c r="U309" s="269"/>
    </row>
    <row r="310" spans="2:21">
      <c r="B310" s="273"/>
      <c r="C310" s="269"/>
      <c r="D310" s="392" t="str">
        <f>+"1)  Load Scheduling &amp; Dispatch Charges in account 561 that are collected in the OATT Ancillary Services Revenue, as shown on line "&amp;B152&amp;"."</f>
        <v>1)  Load Scheduling &amp; Dispatch Charges in account 561 that are collected in the OATT Ancillary Services Revenue, as shown on line 75.</v>
      </c>
      <c r="E310" s="72"/>
      <c r="F310" s="72"/>
      <c r="G310" s="72"/>
      <c r="H310" s="72"/>
      <c r="I310" s="72"/>
      <c r="J310" s="72"/>
      <c r="K310" s="72"/>
      <c r="L310" s="72"/>
      <c r="M310" s="269"/>
      <c r="N310" s="269"/>
      <c r="O310" s="269"/>
      <c r="P310" s="269"/>
      <c r="Q310" s="269"/>
      <c r="R310" s="269"/>
      <c r="S310" s="269"/>
      <c r="T310" s="269"/>
      <c r="U310" s="269"/>
    </row>
    <row r="311" spans="2:21">
      <c r="B311" s="273"/>
      <c r="C311" s="269"/>
      <c r="D311" s="393" t="str">
        <f>+"2)  Costs of Transmission of Electricity by Others, as described in Note H."</f>
        <v>2)  Costs of Transmission of Electricity by Others, as described in Note H.</v>
      </c>
      <c r="E311" s="4"/>
      <c r="F311" s="4"/>
      <c r="G311" s="4"/>
      <c r="H311" s="4"/>
      <c r="I311" s="4"/>
      <c r="J311" s="4"/>
      <c r="K311" s="4"/>
      <c r="L311" s="4"/>
      <c r="M311" s="269"/>
      <c r="N311" s="269"/>
      <c r="O311" s="269"/>
      <c r="P311" s="269"/>
      <c r="Q311" s="269"/>
      <c r="R311" s="269"/>
      <c r="S311" s="269"/>
      <c r="T311" s="269"/>
      <c r="U311" s="269"/>
    </row>
    <row r="312" spans="2:21">
      <c r="B312" s="273"/>
      <c r="C312" s="269"/>
      <c r="D312" s="392" t="str">
        <f>+"3)  The impact of state regulatory deferrals and amortizations, as shown on line  "&amp;B154&amp;""</f>
        <v>3)  The impact of state regulatory deferrals and amortizations, as shown on line  77</v>
      </c>
      <c r="E312" s="72"/>
      <c r="F312" s="72"/>
      <c r="G312" s="72"/>
      <c r="H312" s="72"/>
      <c r="I312" s="72"/>
      <c r="J312" s="72"/>
      <c r="K312" s="72"/>
      <c r="L312" s="72"/>
      <c r="M312" s="269"/>
      <c r="N312" s="269"/>
      <c r="O312" s="269"/>
      <c r="P312" s="269"/>
      <c r="Q312" s="269"/>
      <c r="R312" s="269"/>
      <c r="S312" s="269"/>
      <c r="T312" s="269"/>
      <c r="U312" s="269"/>
    </row>
    <row r="313" spans="2:21">
      <c r="B313" s="273"/>
      <c r="C313" s="72"/>
      <c r="D313" s="393" t="str">
        <f>"4) All A&amp;G Expenses, as shown on line "&amp;B172&amp;"."</f>
        <v>4) All A&amp;G Expenses, as shown on line 93.</v>
      </c>
      <c r="E313" s="4"/>
      <c r="F313" s="4"/>
      <c r="G313" s="4"/>
      <c r="H313" s="4"/>
      <c r="I313" s="4"/>
      <c r="J313" s="4"/>
      <c r="K313" s="4"/>
      <c r="L313" s="4"/>
      <c r="M313" s="269"/>
      <c r="N313" s="269"/>
      <c r="O313" s="269"/>
      <c r="P313" s="269"/>
      <c r="Q313" s="269"/>
      <c r="R313" s="269"/>
      <c r="S313" s="269"/>
      <c r="T313" s="269"/>
      <c r="U313" s="269"/>
    </row>
    <row r="314" spans="2:21">
      <c r="B314" s="273"/>
      <c r="C314" s="274"/>
      <c r="D314" s="392"/>
      <c r="E314" s="392"/>
      <c r="F314" s="392"/>
      <c r="G314" s="392"/>
      <c r="H314" s="392"/>
      <c r="I314" s="392"/>
      <c r="J314" s="392"/>
      <c r="K314" s="392"/>
      <c r="L314" s="392"/>
      <c r="M314" s="269"/>
      <c r="N314" s="269"/>
      <c r="O314" s="269"/>
      <c r="P314" s="269"/>
      <c r="Q314" s="269"/>
      <c r="R314" s="269"/>
      <c r="S314" s="269"/>
      <c r="T314" s="269"/>
      <c r="U314" s="269"/>
    </row>
    <row r="315" spans="2:21">
      <c r="B315" s="391" t="s">
        <v>155</v>
      </c>
      <c r="C315" s="338"/>
      <c r="D315" s="394" t="str">
        <f>"Consistent with Paragraph 657 of Order 2003-A, the amount on line "&amp;B129&amp;" is equal to the balance of IPP System Upgrade Credits owed to transmission customers that"</f>
        <v>Consistent with Paragraph 657 of Order 2003-A, the amount on line 67 is equal to the balance of IPP System Upgrade Credits owed to transmission customers that</v>
      </c>
      <c r="E315" s="394"/>
      <c r="F315" s="394"/>
      <c r="G315" s="394"/>
      <c r="H315" s="394"/>
      <c r="I315" s="394"/>
      <c r="J315" s="394"/>
      <c r="K315" s="394"/>
      <c r="L315" s="394"/>
      <c r="M315" s="269"/>
      <c r="N315" s="269"/>
      <c r="O315" s="269"/>
      <c r="P315" s="269"/>
      <c r="Q315" s="269"/>
      <c r="R315" s="269"/>
      <c r="S315" s="269"/>
      <c r="T315" s="269"/>
      <c r="U315" s="269"/>
    </row>
    <row r="316" spans="2:21">
      <c r="D316" s="394" t="s">
        <v>220</v>
      </c>
      <c r="E316" s="394"/>
      <c r="F316" s="394"/>
      <c r="G316" s="394"/>
      <c r="H316" s="394"/>
      <c r="I316" s="394"/>
      <c r="J316" s="394"/>
      <c r="K316" s="394"/>
      <c r="L316" s="394"/>
      <c r="M316" s="269"/>
      <c r="N316" s="269"/>
      <c r="O316" s="269"/>
      <c r="P316" s="269"/>
      <c r="Q316" s="269"/>
      <c r="R316" s="269"/>
      <c r="S316" s="269"/>
      <c r="T316" s="269"/>
      <c r="U316" s="269"/>
    </row>
    <row r="317" spans="2:21">
      <c r="D317" s="394" t="str">
        <f>"expense is included on line "&amp;B215&amp;"."</f>
        <v>expense is included on line 127.</v>
      </c>
      <c r="E317" s="394"/>
      <c r="F317" s="394"/>
      <c r="G317" s="394"/>
      <c r="H317" s="394"/>
      <c r="I317" s="394"/>
      <c r="J317" s="394"/>
      <c r="K317" s="394"/>
      <c r="L317" s="394"/>
      <c r="M317" s="269"/>
      <c r="N317" s="269"/>
      <c r="O317" s="269"/>
      <c r="P317" s="269"/>
      <c r="Q317" s="269"/>
      <c r="R317" s="269"/>
      <c r="S317" s="269"/>
      <c r="T317" s="269"/>
      <c r="U317" s="269"/>
    </row>
    <row r="318" spans="2:21">
      <c r="D318" s="394"/>
      <c r="E318" s="394"/>
      <c r="F318" s="394"/>
      <c r="G318" s="394"/>
      <c r="H318" s="394"/>
      <c r="I318" s="394"/>
      <c r="J318" s="394"/>
      <c r="K318" s="394"/>
      <c r="L318" s="394"/>
      <c r="N318" s="269"/>
      <c r="O318" s="269"/>
      <c r="P318" s="269"/>
      <c r="Q318" s="269"/>
      <c r="R318" s="269"/>
      <c r="S318" s="269"/>
      <c r="T318" s="269"/>
      <c r="U318" s="269"/>
    </row>
    <row r="319" spans="2:21">
      <c r="B319" s="391" t="s">
        <v>156</v>
      </c>
      <c r="D319" s="1206" t="str">
        <f>"Removes from the cost of service the Load Scheduling and Dispatch expenses booked to accounts 561.1 through 561.8.  Expenses recorded in these accounts, with the exception of 561.4 &amp; 561.8 (lines "&amp;B45&amp;" &amp; "&amp;B46&amp;"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19" s="1206"/>
      <c r="F319" s="1206"/>
      <c r="G319" s="1206"/>
      <c r="H319" s="1206"/>
      <c r="I319" s="1206"/>
      <c r="J319" s="1206"/>
      <c r="K319" s="1206"/>
      <c r="L319" s="394"/>
      <c r="N319" s="269"/>
      <c r="O319" s="269"/>
      <c r="P319" s="269"/>
      <c r="Q319" s="269"/>
      <c r="R319" s="269"/>
      <c r="S319" s="269"/>
      <c r="T319" s="269"/>
      <c r="U319" s="269"/>
    </row>
    <row r="320" spans="2:21">
      <c r="B320" s="391"/>
      <c r="D320" s="1206"/>
      <c r="E320" s="1206"/>
      <c r="F320" s="1206"/>
      <c r="G320" s="1206"/>
      <c r="H320" s="1206"/>
      <c r="I320" s="1206"/>
      <c r="J320" s="1206"/>
      <c r="K320" s="1206"/>
      <c r="L320" s="394"/>
      <c r="N320" s="269"/>
      <c r="O320" s="269"/>
      <c r="P320" s="269"/>
      <c r="Q320" s="269"/>
      <c r="R320" s="269"/>
      <c r="S320" s="269"/>
      <c r="T320" s="269"/>
      <c r="U320" s="269"/>
    </row>
    <row r="321" spans="2:21">
      <c r="B321" s="391"/>
      <c r="D321" s="1206"/>
      <c r="E321" s="1206"/>
      <c r="F321" s="1206"/>
      <c r="G321" s="1206"/>
      <c r="H321" s="1206"/>
      <c r="I321" s="1206"/>
      <c r="J321" s="1206"/>
      <c r="K321" s="1206"/>
      <c r="L321" s="394"/>
      <c r="N321" s="269"/>
      <c r="O321" s="269"/>
      <c r="P321" s="269"/>
      <c r="Q321" s="269"/>
      <c r="R321" s="269"/>
      <c r="S321" s="269"/>
      <c r="T321" s="269"/>
      <c r="U321" s="269"/>
    </row>
    <row r="322" spans="2:21">
      <c r="B322" s="391"/>
      <c r="D322" s="392"/>
      <c r="E322" s="394"/>
      <c r="F322" s="394"/>
      <c r="G322" s="394"/>
      <c r="H322" s="394"/>
      <c r="I322" s="394"/>
      <c r="J322" s="394"/>
      <c r="K322" s="394"/>
      <c r="L322" s="394"/>
      <c r="N322" s="269"/>
      <c r="O322" s="269"/>
      <c r="P322" s="269"/>
      <c r="Q322" s="269"/>
      <c r="R322" s="269"/>
      <c r="S322" s="269"/>
      <c r="T322" s="269"/>
      <c r="U322" s="269"/>
    </row>
    <row r="323" spans="2:21">
      <c r="B323" s="391" t="s">
        <v>157</v>
      </c>
      <c r="D323" s="1195" t="str">
        <f>"Removes cost of transmission service provided by others to determine the basis of cash working capital on line "&amp;B155&amp;". To the extent such service is incurred to provide the PJM service at issue, e.g. lease payments to affiliates, such cost is added back on line "&amp;B175&amp;" to determine the total O&amp;M collected in the formula.  The amounts on line "&amp;B175&amp;" is also excluded in the calculation of the FCR percentage calculated on lines "&amp;B29&amp;" through "&amp;B37&amp;"."</f>
        <v>Removes cost of transmission service provided by others to determine the basis of cash working capital on line 78. To the extent such service is incurred to provide the PJM service at issue, e.g. lease payments to affiliates, such cost is added back on line 95 to determine the total O&amp;M collected in the formula.  The amounts on line 95 is also excluded in the calculation of the FCR percentage calculated on lines 6 through 12.</v>
      </c>
      <c r="E323" s="1195"/>
      <c r="F323" s="1195"/>
      <c r="G323" s="1195"/>
      <c r="H323" s="1195"/>
      <c r="I323" s="1195"/>
      <c r="J323" s="1195"/>
      <c r="K323" s="1195"/>
      <c r="L323" s="394"/>
      <c r="N323" s="269"/>
      <c r="O323" s="269"/>
      <c r="P323" s="269"/>
      <c r="Q323" s="269"/>
      <c r="R323" s="269"/>
      <c r="S323" s="269"/>
      <c r="T323" s="269"/>
      <c r="U323" s="269"/>
    </row>
    <row r="324" spans="2:21">
      <c r="B324" s="391"/>
      <c r="D324" s="1195"/>
      <c r="E324" s="1195"/>
      <c r="F324" s="1195"/>
      <c r="G324" s="1195"/>
      <c r="H324" s="1195"/>
      <c r="I324" s="1195"/>
      <c r="J324" s="1195"/>
      <c r="K324" s="1195"/>
      <c r="L324" s="394"/>
      <c r="N324" s="269"/>
      <c r="O324" s="269"/>
      <c r="P324" s="269"/>
      <c r="Q324" s="269"/>
      <c r="R324" s="269"/>
      <c r="S324" s="269"/>
      <c r="T324" s="269"/>
      <c r="U324" s="269"/>
    </row>
    <row r="325" spans="2:21">
      <c r="B325" s="391"/>
      <c r="D325" s="1196"/>
      <c r="E325" s="1196"/>
      <c r="F325" s="1196"/>
      <c r="G325" s="1196"/>
      <c r="H325" s="1196"/>
      <c r="I325" s="1196"/>
      <c r="J325" s="1196"/>
      <c r="K325" s="1196"/>
      <c r="L325" s="394"/>
      <c r="N325" s="269"/>
      <c r="O325" s="269"/>
      <c r="P325" s="269"/>
      <c r="Q325" s="269"/>
      <c r="R325" s="269"/>
      <c r="S325" s="269"/>
      <c r="T325" s="269"/>
      <c r="U325" s="269"/>
    </row>
    <row r="326" spans="2:21">
      <c r="B326" s="391"/>
      <c r="D326" s="1201" t="str">
        <f>"The addbacks  on line "&amp;B175&amp;" of activity recorded in 565 represents inter-company sales or purchases of transmission capacity necessary to meet each AEP company's transmission load relative to their available transmission capacity."</f>
        <v>The addbacks  on line 95 of activity recorded in 565 represents inter-company sales or purchases of transmission capacity necessary to meet each AEP company's transmission load relative to their available transmission capacity.</v>
      </c>
      <c r="E326" s="1201"/>
      <c r="F326" s="1201"/>
      <c r="G326" s="1201"/>
      <c r="H326" s="1201"/>
      <c r="I326" s="1201"/>
      <c r="J326" s="1201"/>
      <c r="K326" s="395"/>
      <c r="L326" s="394"/>
      <c r="N326" s="269"/>
      <c r="O326" s="269"/>
      <c r="P326" s="269"/>
      <c r="Q326" s="269"/>
      <c r="R326" s="269"/>
      <c r="S326" s="269"/>
      <c r="T326" s="269"/>
      <c r="U326" s="269"/>
    </row>
    <row r="327" spans="2:21">
      <c r="B327" s="391"/>
      <c r="D327" s="1201"/>
      <c r="E327" s="1201"/>
      <c r="F327" s="1201"/>
      <c r="G327" s="1201"/>
      <c r="H327" s="1201"/>
      <c r="I327" s="1201"/>
      <c r="J327" s="1201"/>
      <c r="K327" s="395"/>
      <c r="L327" s="394"/>
      <c r="N327" s="269"/>
      <c r="O327" s="269"/>
      <c r="P327" s="269"/>
      <c r="Q327" s="269"/>
      <c r="R327" s="269"/>
      <c r="S327" s="269"/>
      <c r="T327" s="269"/>
      <c r="U327" s="269"/>
    </row>
    <row r="328" spans="2:21">
      <c r="B328" s="391"/>
      <c r="D328" s="394" t="str">
        <f>"The company records referenced on line "&amp;B175&amp;" is the "&amp;F9&amp;" general ledger."</f>
        <v>The company records referenced on line 95 is the KENTUCKY POWER COMPANY general ledger.</v>
      </c>
      <c r="E328" s="396"/>
      <c r="F328" s="396"/>
      <c r="G328" s="396"/>
      <c r="H328" s="396"/>
      <c r="I328" s="396"/>
      <c r="J328" s="396"/>
      <c r="K328" s="396"/>
      <c r="L328" s="394"/>
      <c r="N328" s="269"/>
      <c r="O328" s="269"/>
      <c r="P328" s="269"/>
      <c r="Q328" s="269"/>
      <c r="R328" s="269"/>
      <c r="S328" s="269"/>
      <c r="T328" s="269"/>
      <c r="U328" s="269"/>
    </row>
    <row r="329" spans="2:21">
      <c r="B329" s="391"/>
      <c r="D329" s="394"/>
      <c r="E329" s="396"/>
      <c r="F329" s="396"/>
      <c r="G329" s="396"/>
      <c r="H329" s="396"/>
      <c r="I329" s="396"/>
      <c r="J329" s="396"/>
      <c r="K329" s="396"/>
      <c r="L329" s="394"/>
      <c r="N329" s="269"/>
      <c r="O329" s="269"/>
      <c r="P329" s="269"/>
      <c r="Q329" s="269"/>
      <c r="R329" s="269"/>
      <c r="S329" s="269"/>
      <c r="T329" s="269"/>
      <c r="U329" s="269"/>
    </row>
    <row r="330" spans="2:21">
      <c r="B330" s="391" t="s">
        <v>158</v>
      </c>
      <c r="D330" s="265" t="s">
        <v>582</v>
      </c>
      <c r="E330" s="72"/>
      <c r="F330" s="72"/>
      <c r="G330" s="72"/>
      <c r="H330" s="72"/>
      <c r="I330" s="72"/>
      <c r="J330" s="72"/>
      <c r="K330" s="72"/>
      <c r="L330" s="397"/>
      <c r="N330" s="269"/>
      <c r="O330" s="269"/>
      <c r="P330" s="269"/>
      <c r="Q330" s="269"/>
      <c r="R330" s="269"/>
      <c r="S330" s="269"/>
      <c r="T330" s="269"/>
      <c r="U330" s="269"/>
    </row>
    <row r="331" spans="2:21">
      <c r="B331" s="391"/>
      <c r="D331" s="397"/>
      <c r="E331" s="397"/>
      <c r="F331" s="397"/>
      <c r="G331" s="397"/>
      <c r="H331" s="397"/>
      <c r="I331" s="397"/>
      <c r="J331" s="397"/>
      <c r="K331" s="397"/>
      <c r="L331" s="397"/>
      <c r="N331" s="269"/>
      <c r="O331" s="269"/>
      <c r="P331" s="269"/>
      <c r="Q331" s="269"/>
      <c r="R331" s="269"/>
      <c r="S331" s="269"/>
      <c r="T331" s="269"/>
      <c r="U331" s="269"/>
    </row>
    <row r="332" spans="2:21">
      <c r="B332" s="391" t="s">
        <v>159</v>
      </c>
      <c r="D332" s="1204" t="s">
        <v>49</v>
      </c>
      <c r="E332" s="1198"/>
      <c r="F332" s="1198"/>
      <c r="G332" s="1198"/>
      <c r="H332" s="1198"/>
      <c r="I332" s="1198"/>
      <c r="J332" s="1198"/>
      <c r="K332" s="394"/>
      <c r="L332" s="394"/>
      <c r="N332" s="269"/>
      <c r="O332" s="269"/>
      <c r="P332" s="269"/>
      <c r="Q332" s="269"/>
      <c r="R332" s="269"/>
      <c r="S332" s="269"/>
      <c r="T332" s="269"/>
      <c r="U332" s="269"/>
    </row>
    <row r="333" spans="2:21">
      <c r="B333" s="391"/>
      <c r="D333" s="1205"/>
      <c r="E333" s="1205"/>
      <c r="F333" s="1205"/>
      <c r="G333" s="1205"/>
      <c r="H333" s="1205"/>
      <c r="I333" s="1205"/>
      <c r="J333" s="1205"/>
      <c r="K333" s="397"/>
      <c r="L333" s="397"/>
      <c r="N333" s="269"/>
      <c r="O333" s="269"/>
      <c r="P333" s="269"/>
      <c r="Q333" s="269"/>
      <c r="R333" s="269"/>
      <c r="S333" s="269"/>
      <c r="T333" s="269"/>
      <c r="U333" s="269"/>
    </row>
    <row r="334" spans="2:21">
      <c r="B334" s="391"/>
      <c r="D334" s="1198"/>
      <c r="E334" s="1198"/>
      <c r="F334" s="1198"/>
      <c r="G334" s="1198"/>
      <c r="H334" s="1198"/>
      <c r="I334" s="1198"/>
      <c r="J334" s="1198"/>
      <c r="K334" s="394"/>
      <c r="L334" s="394"/>
      <c r="N334" s="269"/>
      <c r="O334" s="269"/>
      <c r="P334" s="269"/>
      <c r="Q334" s="269"/>
      <c r="R334" s="269"/>
      <c r="S334" s="269"/>
      <c r="T334" s="269"/>
      <c r="U334" s="269"/>
    </row>
    <row r="335" spans="2:21">
      <c r="B335" s="391"/>
      <c r="D335" s="394"/>
      <c r="E335" s="394"/>
      <c r="F335" s="394"/>
      <c r="G335" s="394"/>
      <c r="H335" s="394"/>
      <c r="I335" s="394"/>
      <c r="J335" s="394"/>
      <c r="K335" s="394"/>
      <c r="L335" s="394"/>
      <c r="N335" s="269"/>
      <c r="O335" s="269"/>
      <c r="P335" s="269"/>
      <c r="Q335" s="269"/>
      <c r="R335" s="269"/>
      <c r="S335" s="269"/>
      <c r="T335" s="269"/>
      <c r="U335" s="269"/>
    </row>
    <row r="336" spans="2:21" ht="15.75">
      <c r="B336" s="845" t="s">
        <v>160</v>
      </c>
      <c r="C336" s="846"/>
      <c r="D336" s="1199" t="s">
        <v>862</v>
      </c>
      <c r="E336" s="1200"/>
      <c r="F336" s="1200"/>
      <c r="G336" s="1200"/>
      <c r="H336" s="1200"/>
      <c r="I336" s="1200"/>
      <c r="J336" s="1200"/>
      <c r="K336" s="1200"/>
      <c r="L336" s="397"/>
      <c r="N336" s="269"/>
      <c r="O336" s="269"/>
      <c r="P336" s="269"/>
      <c r="Q336" s="269"/>
      <c r="R336" s="269"/>
      <c r="S336" s="269"/>
      <c r="T336" s="269"/>
      <c r="U336" s="269"/>
    </row>
    <row r="337" spans="2:21" ht="15.75">
      <c r="B337" s="819"/>
      <c r="C337" s="846"/>
      <c r="D337" s="1200"/>
      <c r="E337" s="1200"/>
      <c r="F337" s="1200"/>
      <c r="G337" s="1200"/>
      <c r="H337" s="1200"/>
      <c r="I337" s="1200"/>
      <c r="J337" s="1200"/>
      <c r="K337" s="1200"/>
      <c r="L337" s="394"/>
      <c r="N337" s="269"/>
      <c r="O337" s="269"/>
      <c r="P337" s="269"/>
      <c r="Q337" s="269"/>
      <c r="R337" s="269"/>
      <c r="S337" s="269"/>
      <c r="T337" s="269"/>
      <c r="U337" s="269"/>
    </row>
    <row r="338" spans="2:21">
      <c r="B338" s="391"/>
      <c r="D338" s="394"/>
      <c r="E338" s="394"/>
      <c r="F338" s="394"/>
      <c r="G338" s="394"/>
      <c r="H338" s="394"/>
      <c r="I338" s="394"/>
      <c r="J338" s="394"/>
      <c r="K338" s="394"/>
      <c r="L338" s="394"/>
      <c r="N338" s="269"/>
      <c r="O338" s="269"/>
      <c r="P338" s="269"/>
      <c r="Q338" s="269"/>
      <c r="R338" s="269"/>
      <c r="S338" s="269"/>
      <c r="T338" s="269"/>
      <c r="U338" s="269"/>
    </row>
    <row r="339" spans="2:21">
      <c r="B339" s="273" t="s">
        <v>161</v>
      </c>
      <c r="C339" s="274"/>
      <c r="D339" s="1193" t="s">
        <v>583</v>
      </c>
      <c r="E339" s="1193"/>
      <c r="F339" s="1193"/>
      <c r="G339" s="1193"/>
      <c r="H339" s="1193"/>
      <c r="I339" s="1193"/>
      <c r="J339" s="1193"/>
      <c r="K339" s="1193"/>
      <c r="L339" s="1193"/>
      <c r="N339" s="269"/>
      <c r="O339" s="269"/>
      <c r="P339" s="269"/>
      <c r="Q339" s="269"/>
      <c r="R339" s="269"/>
      <c r="S339" s="269"/>
      <c r="T339" s="269"/>
      <c r="U339" s="269"/>
    </row>
    <row r="340" spans="2:21">
      <c r="B340" s="273"/>
      <c r="C340" s="274"/>
      <c r="D340" s="1193"/>
      <c r="E340" s="1193"/>
      <c r="F340" s="1193"/>
      <c r="G340" s="1193"/>
      <c r="H340" s="1193"/>
      <c r="I340" s="1193"/>
      <c r="J340" s="1193"/>
      <c r="K340" s="1193"/>
      <c r="L340" s="1193"/>
      <c r="N340" s="269"/>
      <c r="O340" s="269"/>
      <c r="P340" s="269"/>
      <c r="Q340" s="269"/>
      <c r="R340" s="269"/>
      <c r="S340" s="269"/>
      <c r="T340" s="269"/>
      <c r="U340" s="269"/>
    </row>
    <row r="341" spans="2:21">
      <c r="B341" s="273"/>
      <c r="C341" s="274"/>
      <c r="D341" s="1193"/>
      <c r="E341" s="1193"/>
      <c r="F341" s="1193"/>
      <c r="G341" s="1193"/>
      <c r="H341" s="1193"/>
      <c r="I341" s="1193"/>
      <c r="J341" s="1193"/>
      <c r="K341" s="1193"/>
      <c r="L341" s="1193"/>
      <c r="N341" s="269"/>
      <c r="O341" s="269"/>
      <c r="P341" s="269"/>
      <c r="Q341" s="269"/>
      <c r="R341" s="269"/>
      <c r="S341" s="269"/>
      <c r="T341" s="269"/>
      <c r="U341" s="269"/>
    </row>
    <row r="342" spans="2:21">
      <c r="B342" s="273"/>
      <c r="C342" s="274"/>
      <c r="D342" s="1193"/>
      <c r="E342" s="1193"/>
      <c r="F342" s="1193"/>
      <c r="G342" s="1193"/>
      <c r="H342" s="1193"/>
      <c r="I342" s="1193"/>
      <c r="J342" s="1193"/>
      <c r="K342" s="1193"/>
      <c r="L342" s="1193"/>
      <c r="N342" s="269"/>
      <c r="O342" s="269"/>
      <c r="P342" s="269"/>
      <c r="Q342" s="269"/>
      <c r="R342" s="269"/>
      <c r="S342" s="269"/>
      <c r="T342" s="269"/>
      <c r="U342" s="269"/>
    </row>
    <row r="343" spans="2:21">
      <c r="B343" s="273"/>
      <c r="C343" s="274"/>
      <c r="D343" s="394"/>
      <c r="E343" s="392"/>
      <c r="F343" s="392"/>
      <c r="G343" s="392"/>
      <c r="H343" s="392"/>
      <c r="I343" s="392"/>
      <c r="J343" s="392"/>
      <c r="K343" s="392"/>
      <c r="L343" s="392"/>
      <c r="N343" s="269"/>
      <c r="O343" s="269"/>
      <c r="P343" s="269"/>
      <c r="Q343" s="269"/>
      <c r="R343" s="269"/>
      <c r="S343" s="269"/>
      <c r="T343" s="269"/>
      <c r="U343" s="269"/>
    </row>
    <row r="344" spans="2:21" ht="15" customHeight="1">
      <c r="B344" s="273" t="s">
        <v>162</v>
      </c>
      <c r="C344" s="274"/>
      <c r="D344" s="1202" t="s">
        <v>859</v>
      </c>
      <c r="E344" s="1203"/>
      <c r="F344" s="1203"/>
      <c r="G344" s="1203"/>
      <c r="H344" s="1203"/>
      <c r="I344" s="1203"/>
      <c r="J344" s="1203"/>
      <c r="K344" s="1203"/>
      <c r="L344" s="1197"/>
      <c r="N344" s="269"/>
      <c r="O344" s="269"/>
      <c r="P344" s="269"/>
      <c r="Q344" s="269"/>
      <c r="R344" s="269"/>
      <c r="S344" s="269"/>
      <c r="T344" s="269"/>
      <c r="U344" s="269"/>
    </row>
    <row r="345" spans="2:21">
      <c r="B345" s="273"/>
      <c r="C345" s="274"/>
      <c r="D345" s="1203"/>
      <c r="E345" s="1203"/>
      <c r="F345" s="1203"/>
      <c r="G345" s="1203"/>
      <c r="H345" s="1203"/>
      <c r="I345" s="1203"/>
      <c r="J345" s="1203"/>
      <c r="K345" s="1203"/>
      <c r="L345" s="1197"/>
      <c r="N345" s="269"/>
      <c r="O345" s="269"/>
      <c r="P345" s="269"/>
      <c r="Q345" s="269"/>
      <c r="R345" s="269"/>
      <c r="S345" s="269"/>
      <c r="T345" s="269"/>
      <c r="U345" s="269"/>
    </row>
    <row r="346" spans="2:21">
      <c r="B346" s="273"/>
      <c r="C346" s="274"/>
      <c r="D346" s="1197"/>
      <c r="E346" s="1197"/>
      <c r="F346" s="1197"/>
      <c r="G346" s="1197"/>
      <c r="H346" s="1197"/>
      <c r="I346" s="1197"/>
      <c r="J346" s="1197"/>
      <c r="K346" s="1197"/>
      <c r="L346" s="1197"/>
      <c r="N346" s="269"/>
      <c r="O346" s="269"/>
      <c r="P346" s="269"/>
      <c r="Q346" s="269"/>
      <c r="R346" s="269"/>
      <c r="S346" s="269"/>
      <c r="T346" s="269"/>
      <c r="U346" s="269"/>
    </row>
    <row r="347" spans="2:21">
      <c r="B347" s="273"/>
      <c r="C347" s="274"/>
      <c r="D347" s="348"/>
      <c r="E347" s="269"/>
      <c r="F347" s="269"/>
      <c r="G347" s="269"/>
      <c r="H347" s="269"/>
      <c r="I347" s="269"/>
      <c r="J347" s="269"/>
      <c r="K347" s="269"/>
      <c r="L347" s="269"/>
      <c r="N347" s="269"/>
      <c r="O347" s="269"/>
      <c r="P347" s="269"/>
      <c r="Q347" s="269"/>
      <c r="R347" s="269"/>
      <c r="S347" s="269"/>
      <c r="T347" s="269"/>
      <c r="U347" s="269"/>
    </row>
    <row r="348" spans="2:21">
      <c r="B348" s="338" t="s">
        <v>247</v>
      </c>
      <c r="C348" s="274"/>
      <c r="D348" s="269" t="s">
        <v>357</v>
      </c>
      <c r="E348" s="2"/>
      <c r="F348" s="2"/>
      <c r="G348" s="2"/>
      <c r="H348" s="2"/>
      <c r="I348" s="2"/>
      <c r="J348" s="2"/>
      <c r="N348" s="269"/>
      <c r="O348" s="269"/>
      <c r="P348" s="269"/>
      <c r="Q348" s="269"/>
      <c r="R348" s="269"/>
      <c r="S348" s="269"/>
      <c r="T348" s="269"/>
      <c r="U348" s="269"/>
    </row>
    <row r="349" spans="2:21">
      <c r="B349" s="338"/>
      <c r="C349" s="274"/>
      <c r="D349" s="2"/>
      <c r="E349" s="2"/>
      <c r="F349" s="2"/>
      <c r="G349" s="2"/>
      <c r="H349" s="2"/>
      <c r="I349" s="2"/>
      <c r="J349" s="2"/>
      <c r="N349" s="269"/>
      <c r="O349" s="269"/>
      <c r="P349" s="269"/>
      <c r="Q349" s="269"/>
      <c r="R349" s="269"/>
      <c r="S349" s="269"/>
      <c r="T349" s="269"/>
      <c r="U349" s="269"/>
    </row>
    <row r="350" spans="2:21">
      <c r="B350" s="273" t="s">
        <v>306</v>
      </c>
      <c r="C350" s="274"/>
      <c r="D350" s="269" t="s">
        <v>346</v>
      </c>
      <c r="N350" s="269"/>
      <c r="O350" s="269"/>
      <c r="P350" s="269"/>
      <c r="Q350" s="269"/>
      <c r="R350" s="269"/>
      <c r="S350" s="269"/>
      <c r="T350" s="269"/>
      <c r="U350" s="269"/>
    </row>
    <row r="351" spans="2:21">
      <c r="B351" s="338"/>
      <c r="C351" s="274"/>
      <c r="D351" s="269" t="s">
        <v>235</v>
      </c>
      <c r="N351" s="269"/>
      <c r="O351" s="269"/>
      <c r="P351" s="269"/>
      <c r="Q351" s="269"/>
      <c r="R351" s="269"/>
      <c r="S351" s="269"/>
      <c r="T351" s="269"/>
      <c r="U351" s="269"/>
    </row>
    <row r="352" spans="2:21">
      <c r="B352" s="338"/>
      <c r="C352" s="274"/>
      <c r="D352" s="269" t="s">
        <v>236</v>
      </c>
      <c r="N352" s="269"/>
      <c r="O352" s="269"/>
      <c r="P352" s="269"/>
      <c r="Q352" s="269"/>
      <c r="R352" s="269"/>
      <c r="S352" s="269"/>
      <c r="T352" s="269"/>
      <c r="U352" s="269"/>
    </row>
    <row r="353" spans="2:21">
      <c r="B353" s="338"/>
      <c r="C353" s="274"/>
      <c r="D353" s="269" t="s">
        <v>237</v>
      </c>
      <c r="N353" s="269"/>
      <c r="O353" s="269"/>
      <c r="P353" s="269"/>
      <c r="Q353" s="269"/>
      <c r="R353" s="269"/>
      <c r="S353" s="269"/>
      <c r="T353" s="269"/>
      <c r="U353" s="269"/>
    </row>
    <row r="354" spans="2:21">
      <c r="B354" s="273"/>
      <c r="C354" s="274"/>
      <c r="D354" s="269" t="str">
        <f>"(ln "&amp;B202&amp;") multiplied by (1/1-T) .  If the applicable tax rates are zero enter 0."</f>
        <v>(ln 118) multiplied by (1/1-T) .  If the applicable tax rates are zero enter 0.</v>
      </c>
      <c r="N354" s="269"/>
      <c r="O354" s="269"/>
      <c r="P354" s="269"/>
      <c r="Q354" s="269"/>
      <c r="R354" s="269"/>
      <c r="S354" s="269"/>
      <c r="T354" s="269"/>
      <c r="U354" s="269"/>
    </row>
    <row r="355" spans="2:21">
      <c r="B355" s="398"/>
      <c r="C355" s="269"/>
      <c r="D355" s="269" t="s">
        <v>347</v>
      </c>
      <c r="E355" s="269" t="s">
        <v>348</v>
      </c>
      <c r="F355" s="644">
        <v>0.21</v>
      </c>
      <c r="G355" s="269"/>
      <c r="N355" s="269"/>
      <c r="O355" s="269"/>
      <c r="P355" s="269"/>
      <c r="Q355" s="269"/>
      <c r="R355" s="269"/>
      <c r="S355" s="269"/>
      <c r="T355" s="269"/>
      <c r="U355" s="269"/>
    </row>
    <row r="356" spans="2:21">
      <c r="B356" s="398"/>
      <c r="C356" s="269"/>
      <c r="D356" s="269"/>
      <c r="E356" s="269" t="s">
        <v>349</v>
      </c>
      <c r="F356" s="295">
        <f>+'WS G  State Tax Rate'!F34</f>
        <v>4.9318000000000001E-2</v>
      </c>
      <c r="G356" s="269" t="s">
        <v>507</v>
      </c>
      <c r="N356" s="269"/>
      <c r="O356" s="269"/>
      <c r="P356" s="269"/>
      <c r="Q356" s="269"/>
      <c r="R356" s="269"/>
      <c r="S356" s="269"/>
      <c r="T356" s="269"/>
      <c r="U356" s="269"/>
    </row>
    <row r="357" spans="2:21">
      <c r="B357" s="398"/>
      <c r="C357" s="269"/>
      <c r="D357" s="269"/>
      <c r="E357" s="269" t="s">
        <v>350</v>
      </c>
      <c r="F357" s="644">
        <v>0</v>
      </c>
      <c r="G357" s="269" t="s">
        <v>351</v>
      </c>
      <c r="N357" s="269"/>
      <c r="O357" s="269"/>
      <c r="P357" s="269"/>
      <c r="Q357" s="269"/>
      <c r="R357" s="269"/>
      <c r="S357" s="269"/>
      <c r="T357" s="269"/>
      <c r="U357" s="269"/>
    </row>
    <row r="358" spans="2:21">
      <c r="B358" s="338"/>
      <c r="C358" s="274"/>
      <c r="D358" s="269" t="s">
        <v>593</v>
      </c>
      <c r="M358" s="269"/>
      <c r="N358" s="269"/>
      <c r="O358" s="269"/>
      <c r="P358" s="269"/>
      <c r="Q358" s="269"/>
      <c r="R358" s="269"/>
      <c r="S358" s="269"/>
      <c r="T358" s="269"/>
      <c r="U358" s="269"/>
    </row>
    <row r="359" spans="2:21">
      <c r="B359" s="338"/>
      <c r="C359" s="274"/>
      <c r="D359" s="269" t="s">
        <v>594</v>
      </c>
      <c r="M359" s="269"/>
      <c r="N359" s="269"/>
      <c r="O359" s="269"/>
      <c r="P359" s="269"/>
      <c r="Q359" s="269"/>
      <c r="R359" s="269"/>
      <c r="S359" s="269"/>
      <c r="T359" s="269"/>
      <c r="U359" s="269"/>
    </row>
    <row r="360" spans="2:21">
      <c r="B360" s="273" t="s">
        <v>352</v>
      </c>
      <c r="C360" s="274"/>
      <c r="D360" s="269" t="s">
        <v>226</v>
      </c>
      <c r="N360" s="269"/>
      <c r="O360" s="269"/>
      <c r="P360" s="269"/>
      <c r="Q360" s="269"/>
      <c r="R360" s="269"/>
      <c r="S360" s="269"/>
      <c r="T360" s="269"/>
      <c r="U360" s="269"/>
    </row>
    <row r="361" spans="2:21">
      <c r="B361" s="265"/>
      <c r="D361" s="269"/>
      <c r="N361" s="269"/>
      <c r="O361" s="269"/>
      <c r="P361" s="269"/>
      <c r="Q361" s="269"/>
      <c r="R361" s="269"/>
      <c r="S361" s="269"/>
      <c r="T361" s="269"/>
      <c r="U361" s="269"/>
    </row>
    <row r="362" spans="2:21">
      <c r="B362" s="273" t="s">
        <v>353</v>
      </c>
      <c r="C362" s="274"/>
      <c r="D362" s="269" t="s">
        <v>22</v>
      </c>
      <c r="N362" s="269"/>
      <c r="O362" s="269"/>
      <c r="P362" s="269"/>
      <c r="Q362" s="269"/>
      <c r="R362" s="269"/>
      <c r="S362" s="269"/>
      <c r="T362" s="269"/>
      <c r="U362" s="269"/>
    </row>
    <row r="363" spans="2:21">
      <c r="B363" s="273"/>
      <c r="C363" s="274"/>
      <c r="D363" s="269"/>
      <c r="E363" s="269"/>
      <c r="F363" s="269"/>
      <c r="G363" s="269"/>
      <c r="H363" s="269"/>
      <c r="I363" s="269"/>
      <c r="J363" s="269"/>
      <c r="K363" s="269"/>
      <c r="L363" s="269"/>
      <c r="M363" s="269"/>
      <c r="N363" s="269"/>
      <c r="O363" s="269"/>
      <c r="P363" s="269"/>
      <c r="Q363" s="269"/>
      <c r="R363" s="269"/>
      <c r="S363" s="269"/>
      <c r="T363" s="269"/>
      <c r="U363" s="269"/>
    </row>
    <row r="364" spans="2:21">
      <c r="B364" s="273" t="s">
        <v>354</v>
      </c>
      <c r="C364" s="274"/>
      <c r="D364" s="269" t="s">
        <v>417</v>
      </c>
      <c r="E364" s="269"/>
      <c r="F364" s="269"/>
      <c r="G364" s="269"/>
      <c r="H364" s="269"/>
      <c r="I364" s="269"/>
      <c r="J364" s="269"/>
      <c r="K364" s="269"/>
      <c r="L364" s="269"/>
      <c r="M364" s="269"/>
      <c r="N364" s="269"/>
      <c r="O364" s="269"/>
      <c r="P364" s="269"/>
      <c r="Q364" s="269"/>
      <c r="R364" s="269"/>
      <c r="S364" s="269"/>
      <c r="T364" s="269"/>
      <c r="U364" s="269"/>
    </row>
    <row r="365" spans="2:21">
      <c r="B365" s="273"/>
      <c r="C365" s="274"/>
      <c r="D365" s="269"/>
      <c r="E365" s="269"/>
      <c r="F365" s="269"/>
      <c r="G365" s="269"/>
      <c r="H365" s="269"/>
      <c r="I365" s="269"/>
      <c r="J365" s="269"/>
      <c r="K365" s="269"/>
      <c r="L365" s="269"/>
      <c r="M365" s="269"/>
      <c r="N365" s="269"/>
      <c r="O365" s="269"/>
      <c r="P365" s="269"/>
      <c r="Q365" s="269"/>
      <c r="R365" s="269"/>
      <c r="S365" s="269"/>
      <c r="T365" s="269"/>
      <c r="U365" s="269"/>
    </row>
    <row r="366" spans="2:21">
      <c r="B366" s="391" t="s">
        <v>355</v>
      </c>
      <c r="C366" s="338"/>
      <c r="D366" s="269" t="s">
        <v>1074</v>
      </c>
      <c r="M366" s="269"/>
      <c r="N366" s="269"/>
      <c r="O366" s="269"/>
      <c r="P366" s="269"/>
      <c r="Q366" s="269"/>
      <c r="R366" s="269"/>
      <c r="S366" s="269"/>
      <c r="T366" s="269"/>
      <c r="U366" s="269"/>
    </row>
    <row r="367" spans="2:21">
      <c r="D367" s="269" t="s">
        <v>1075</v>
      </c>
      <c r="M367" s="269"/>
      <c r="N367" s="269"/>
      <c r="O367" s="269"/>
      <c r="P367" s="269"/>
      <c r="Q367" s="269"/>
      <c r="R367" s="269"/>
      <c r="S367" s="269"/>
      <c r="T367" s="269"/>
      <c r="U367" s="269"/>
    </row>
    <row r="368" spans="2:21" ht="15" customHeight="1">
      <c r="D368" s="1194" t="s">
        <v>1076</v>
      </c>
      <c r="E368" s="1194"/>
      <c r="F368" s="1194"/>
      <c r="G368" s="1194"/>
      <c r="H368" s="1194"/>
      <c r="I368" s="1194"/>
      <c r="J368" s="1194"/>
      <c r="K368" s="1194"/>
      <c r="L368" s="1194"/>
      <c r="M368" s="269"/>
      <c r="N368" s="269"/>
      <c r="O368" s="269"/>
      <c r="P368" s="269"/>
      <c r="Q368" s="269"/>
      <c r="R368" s="269"/>
      <c r="S368" s="269"/>
      <c r="T368" s="269"/>
      <c r="U368" s="269"/>
    </row>
    <row r="369" spans="2:21">
      <c r="D369" s="1194"/>
      <c r="E369" s="1194"/>
      <c r="F369" s="1194"/>
      <c r="G369" s="1194"/>
      <c r="H369" s="1194"/>
      <c r="I369" s="1194"/>
      <c r="J369" s="1194"/>
      <c r="K369" s="1194"/>
      <c r="L369" s="1194"/>
      <c r="M369" s="269"/>
      <c r="N369" s="269"/>
      <c r="O369" s="269"/>
      <c r="P369" s="269"/>
      <c r="Q369" s="269"/>
      <c r="R369" s="269"/>
      <c r="S369" s="269"/>
      <c r="T369" s="269"/>
      <c r="U369" s="269"/>
    </row>
    <row r="370" spans="2:21" ht="14.25" customHeight="1">
      <c r="D370" s="1194"/>
      <c r="E370" s="1194"/>
      <c r="F370" s="1194"/>
      <c r="G370" s="1194"/>
      <c r="H370" s="1194"/>
      <c r="I370" s="1194"/>
      <c r="J370" s="1194"/>
      <c r="K370" s="1194"/>
      <c r="L370" s="1194"/>
      <c r="M370" s="269"/>
      <c r="N370" s="269"/>
      <c r="O370" s="269"/>
      <c r="P370" s="269"/>
      <c r="Q370" s="269"/>
      <c r="R370" s="269"/>
      <c r="S370" s="269"/>
      <c r="T370" s="269"/>
      <c r="U370" s="269"/>
    </row>
    <row r="371" spans="2:21" ht="15" hidden="1" customHeight="1">
      <c r="D371" s="1194"/>
      <c r="E371" s="1194"/>
      <c r="F371" s="1194"/>
      <c r="G371" s="1194"/>
      <c r="H371" s="1194"/>
      <c r="I371" s="1194"/>
      <c r="J371" s="1194"/>
      <c r="K371" s="1194"/>
      <c r="L371" s="1194"/>
      <c r="M371" s="269"/>
      <c r="N371" s="269"/>
      <c r="O371" s="269"/>
      <c r="P371" s="269"/>
      <c r="Q371" s="269"/>
      <c r="R371" s="269"/>
      <c r="S371" s="269"/>
      <c r="T371" s="269"/>
      <c r="U371" s="269"/>
    </row>
    <row r="372" spans="2:21" ht="15" hidden="1" customHeight="1">
      <c r="D372" s="1194"/>
      <c r="E372" s="1194"/>
      <c r="F372" s="1194"/>
      <c r="G372" s="1194"/>
      <c r="H372" s="1194"/>
      <c r="I372" s="1194"/>
      <c r="J372" s="1194"/>
      <c r="K372" s="1194"/>
      <c r="L372" s="1194"/>
      <c r="M372" s="269"/>
      <c r="N372" s="269"/>
      <c r="O372" s="269"/>
      <c r="P372" s="269"/>
      <c r="Q372" s="269"/>
      <c r="R372" s="269"/>
      <c r="S372" s="269"/>
      <c r="T372" s="269"/>
      <c r="U372" s="269"/>
    </row>
    <row r="373" spans="2:21" ht="15" hidden="1" customHeight="1">
      <c r="D373" s="1194"/>
      <c r="E373" s="1194"/>
      <c r="F373" s="1194"/>
      <c r="G373" s="1194"/>
      <c r="H373" s="1194"/>
      <c r="I373" s="1194"/>
      <c r="J373" s="1194"/>
      <c r="K373" s="1194"/>
      <c r="L373" s="1194"/>
      <c r="M373" s="269"/>
      <c r="N373" s="269"/>
      <c r="O373" s="269"/>
      <c r="P373" s="269"/>
      <c r="Q373" s="269"/>
      <c r="R373" s="269"/>
      <c r="S373" s="269"/>
      <c r="T373" s="269"/>
      <c r="U373" s="269"/>
    </row>
    <row r="374" spans="2:21">
      <c r="B374" s="273" t="s">
        <v>428</v>
      </c>
      <c r="C374" s="274"/>
      <c r="D374" s="394" t="s">
        <v>35</v>
      </c>
      <c r="E374" s="394"/>
      <c r="F374" s="394"/>
      <c r="G374" s="394"/>
      <c r="H374" s="394"/>
      <c r="I374" s="394"/>
      <c r="J374" s="394"/>
      <c r="M374" s="269"/>
      <c r="N374" s="269"/>
      <c r="O374" s="269"/>
      <c r="P374" s="269"/>
      <c r="Q374" s="269"/>
      <c r="R374" s="269"/>
      <c r="S374" s="269"/>
      <c r="T374" s="269"/>
      <c r="U374" s="269"/>
    </row>
    <row r="375" spans="2:21">
      <c r="B375" s="273"/>
      <c r="C375" s="274"/>
      <c r="D375" s="394" t="str">
        <f>"This total balance of $265,249,280 at 12/31/12 is not included in the balance in line "&amp;B271&amp;" above."</f>
        <v>This total balance of $265,249,280 at 12/31/12 is not included in the balance in line 154 above.</v>
      </c>
      <c r="E375" s="394"/>
      <c r="F375" s="394"/>
      <c r="G375" s="394"/>
      <c r="H375" s="394"/>
      <c r="I375" s="394"/>
      <c r="J375" s="394"/>
      <c r="M375" s="269"/>
      <c r="N375" s="269"/>
      <c r="O375" s="269"/>
      <c r="P375" s="269"/>
      <c r="Q375" s="269"/>
      <c r="R375" s="269"/>
      <c r="S375" s="269"/>
      <c r="T375" s="269"/>
      <c r="U375" s="269"/>
    </row>
    <row r="376" spans="2:21">
      <c r="B376" s="273"/>
      <c r="C376" s="274"/>
      <c r="D376" s="1180" t="s">
        <v>584</v>
      </c>
      <c r="E376" s="1180"/>
      <c r="F376" s="1180"/>
      <c r="G376" s="1180"/>
      <c r="H376" s="1180"/>
      <c r="I376" s="1180"/>
      <c r="J376" s="1180"/>
      <c r="K376" s="1180"/>
      <c r="L376" s="1180"/>
      <c r="M376" s="269"/>
      <c r="N376" s="269"/>
      <c r="O376" s="269"/>
      <c r="P376" s="269"/>
      <c r="Q376" s="269"/>
      <c r="R376" s="269"/>
      <c r="S376" s="269"/>
      <c r="T376" s="269"/>
      <c r="U376" s="269"/>
    </row>
    <row r="377" spans="2:21">
      <c r="B377" s="273"/>
      <c r="C377" s="274"/>
      <c r="D377" s="1180"/>
      <c r="E377" s="1180"/>
      <c r="F377" s="1180"/>
      <c r="G377" s="1180"/>
      <c r="H377" s="1180"/>
      <c r="I377" s="1180"/>
      <c r="J377" s="1180"/>
      <c r="K377" s="1180"/>
      <c r="L377" s="1180"/>
      <c r="M377" s="269"/>
      <c r="N377" s="269"/>
      <c r="O377" s="269"/>
      <c r="P377" s="269"/>
      <c r="Q377" s="269"/>
      <c r="R377" s="269"/>
      <c r="S377" s="269"/>
      <c r="T377" s="269"/>
      <c r="U377" s="269"/>
    </row>
    <row r="378" spans="2:21">
      <c r="B378" s="273"/>
      <c r="C378" s="274"/>
      <c r="D378" s="1180"/>
      <c r="E378" s="1180"/>
      <c r="F378" s="1180"/>
      <c r="G378" s="1180"/>
      <c r="H378" s="1180"/>
      <c r="I378" s="1180"/>
      <c r="J378" s="1180"/>
      <c r="K378" s="1180"/>
      <c r="L378" s="1180"/>
      <c r="M378" s="269"/>
      <c r="N378" s="269"/>
      <c r="O378" s="269"/>
      <c r="P378" s="269"/>
      <c r="Q378" s="269"/>
      <c r="R378" s="269"/>
      <c r="S378" s="269"/>
      <c r="T378" s="269"/>
      <c r="U378" s="269"/>
    </row>
    <row r="379" spans="2:21">
      <c r="B379" s="273" t="s">
        <v>496</v>
      </c>
      <c r="C379" s="399"/>
      <c r="D379" s="1180" t="s">
        <v>759</v>
      </c>
      <c r="E379" s="1180"/>
      <c r="F379" s="1180"/>
      <c r="G379" s="1180"/>
      <c r="H379" s="1180"/>
      <c r="I379" s="1180"/>
      <c r="J379" s="1180"/>
      <c r="K379" s="1180"/>
      <c r="L379" s="1180"/>
      <c r="M379" s="269"/>
      <c r="N379" s="269"/>
      <c r="O379" s="269"/>
      <c r="P379" s="269"/>
      <c r="Q379" s="269"/>
      <c r="R379" s="269"/>
      <c r="S379" s="269"/>
      <c r="T379" s="269"/>
      <c r="U379" s="269"/>
    </row>
    <row r="380" spans="2:21" ht="64.5" customHeight="1">
      <c r="B380" s="273"/>
      <c r="C380" s="274"/>
      <c r="D380" s="1180"/>
      <c r="E380" s="1180"/>
      <c r="F380" s="1180"/>
      <c r="G380" s="1180"/>
      <c r="H380" s="1180"/>
      <c r="I380" s="1180"/>
      <c r="J380" s="1180"/>
      <c r="K380" s="1180"/>
      <c r="L380" s="1180"/>
      <c r="M380" s="269"/>
      <c r="N380" s="269"/>
      <c r="O380" s="269"/>
      <c r="P380" s="269"/>
      <c r="Q380" s="269"/>
      <c r="R380" s="269"/>
      <c r="S380" s="269"/>
      <c r="T380" s="269"/>
      <c r="U380" s="269"/>
    </row>
    <row r="381" spans="2:21">
      <c r="B381" s="273" t="s">
        <v>586</v>
      </c>
      <c r="C381" s="274"/>
      <c r="D381" s="1180" t="s">
        <v>585</v>
      </c>
      <c r="E381" s="1180"/>
      <c r="F381" s="1180"/>
      <c r="G381" s="1180"/>
      <c r="H381" s="1180"/>
      <c r="I381" s="1180"/>
      <c r="J381" s="1180"/>
      <c r="K381" s="1180"/>
      <c r="L381" s="1180"/>
      <c r="M381" s="269"/>
      <c r="N381" s="269"/>
      <c r="O381" s="269"/>
      <c r="P381" s="269"/>
      <c r="Q381" s="269"/>
      <c r="R381" s="269"/>
      <c r="S381" s="269"/>
      <c r="T381" s="269"/>
      <c r="U381" s="269"/>
    </row>
    <row r="382" spans="2:21">
      <c r="B382" s="273"/>
      <c r="C382" s="274"/>
      <c r="D382" s="1180"/>
      <c r="E382" s="1180"/>
      <c r="F382" s="1180"/>
      <c r="G382" s="1180"/>
      <c r="H382" s="1180"/>
      <c r="I382" s="1180"/>
      <c r="J382" s="1180"/>
      <c r="K382" s="1180"/>
      <c r="L382" s="1180"/>
      <c r="M382" s="269"/>
      <c r="N382" s="269"/>
      <c r="O382" s="269"/>
      <c r="P382" s="269"/>
      <c r="Q382" s="269"/>
      <c r="R382" s="269"/>
      <c r="S382" s="269"/>
      <c r="T382" s="269"/>
      <c r="U382" s="269"/>
    </row>
    <row r="383" spans="2:21">
      <c r="B383" s="273" t="s">
        <v>588</v>
      </c>
      <c r="C383" s="274"/>
      <c r="D383" s="1181" t="s">
        <v>589</v>
      </c>
      <c r="E383" s="1181"/>
      <c r="F383" s="1181"/>
      <c r="G383" s="1181"/>
      <c r="H383" s="1181"/>
      <c r="I383" s="1181"/>
      <c r="J383" s="1181"/>
      <c r="K383" s="1181"/>
      <c r="L383" s="1181"/>
      <c r="M383" s="269"/>
      <c r="N383" s="269"/>
      <c r="O383" s="269"/>
      <c r="P383" s="269"/>
      <c r="Q383" s="269"/>
      <c r="R383" s="269"/>
      <c r="S383" s="269"/>
      <c r="T383" s="269"/>
      <c r="U383" s="269"/>
    </row>
    <row r="384" spans="2:21">
      <c r="B384" s="273" t="s">
        <v>587</v>
      </c>
      <c r="C384" s="274"/>
      <c r="D384" s="1180" t="s">
        <v>590</v>
      </c>
      <c r="E384" s="1180"/>
      <c r="F384" s="1180"/>
      <c r="G384" s="1180"/>
      <c r="H384" s="1180"/>
      <c r="I384" s="1180"/>
      <c r="J384" s="1180"/>
      <c r="K384" s="1180"/>
      <c r="L384" s="1180"/>
      <c r="M384" s="269"/>
      <c r="N384" s="269"/>
      <c r="O384" s="269"/>
      <c r="P384" s="269"/>
      <c r="Q384" s="269"/>
      <c r="R384" s="269"/>
      <c r="S384" s="269"/>
      <c r="T384" s="269"/>
      <c r="U384" s="269"/>
    </row>
    <row r="385" spans="2:21">
      <c r="B385" s="273"/>
      <c r="C385" s="274"/>
      <c r="D385" s="1180"/>
      <c r="E385" s="1180"/>
      <c r="F385" s="1180"/>
      <c r="G385" s="1180"/>
      <c r="H385" s="1180"/>
      <c r="I385" s="1180"/>
      <c r="J385" s="1180"/>
      <c r="K385" s="1180"/>
      <c r="L385" s="1180"/>
      <c r="M385" s="269"/>
      <c r="N385" s="269"/>
      <c r="O385" s="269"/>
      <c r="P385" s="269"/>
      <c r="Q385" s="269"/>
      <c r="R385" s="269"/>
      <c r="S385" s="269"/>
      <c r="T385" s="269"/>
      <c r="U385" s="269"/>
    </row>
    <row r="386" spans="2:21">
      <c r="B386"/>
      <c r="C386"/>
      <c r="D386" s="1180"/>
      <c r="E386" s="1180"/>
      <c r="F386" s="1180"/>
      <c r="G386" s="1180"/>
      <c r="H386" s="1180"/>
      <c r="I386" s="1180"/>
      <c r="J386" s="1180"/>
      <c r="K386" s="1180"/>
      <c r="L386" s="1180"/>
      <c r="M386" s="269"/>
      <c r="N386" s="269"/>
      <c r="O386" s="269"/>
      <c r="P386" s="269"/>
      <c r="Q386" s="269"/>
      <c r="R386" s="269"/>
      <c r="S386" s="269"/>
      <c r="T386" s="269"/>
      <c r="U386" s="269"/>
    </row>
    <row r="387" spans="2:21" ht="18" customHeight="1">
      <c r="B387" s="30" t="s">
        <v>631</v>
      </c>
      <c r="C387" s="852"/>
      <c r="D387" s="2" t="s">
        <v>866</v>
      </c>
      <c r="E387" s="4"/>
      <c r="F387" s="4"/>
      <c r="G387" s="4"/>
      <c r="H387"/>
      <c r="M387" s="269"/>
      <c r="N387" s="269"/>
      <c r="O387" s="269"/>
      <c r="P387" s="269"/>
      <c r="Q387" s="269"/>
      <c r="R387" s="269"/>
      <c r="S387" s="269"/>
      <c r="T387" s="269"/>
      <c r="U387" s="269"/>
    </row>
    <row r="388" spans="2:21">
      <c r="B388"/>
      <c r="C388"/>
      <c r="D388"/>
      <c r="E388"/>
      <c r="F388"/>
      <c r="G388"/>
      <c r="H388"/>
      <c r="M388" s="269"/>
      <c r="N388" s="269"/>
      <c r="O388" s="269"/>
      <c r="P388" s="269"/>
      <c r="Q388" s="269"/>
      <c r="R388" s="269"/>
      <c r="S388" s="269"/>
      <c r="T388" s="269"/>
      <c r="U388" s="269"/>
    </row>
    <row r="389" spans="2:21">
      <c r="B389" s="30" t="s">
        <v>903</v>
      </c>
      <c r="C389"/>
      <c r="D389" s="1191" t="s">
        <v>904</v>
      </c>
      <c r="E389" s="1191"/>
      <c r="F389" s="1191"/>
      <c r="G389" s="1191"/>
      <c r="H389" s="1191"/>
      <c r="I389" s="1191"/>
      <c r="J389" s="1191"/>
      <c r="K389" s="1191"/>
      <c r="L389" s="1191"/>
      <c r="M389" s="269"/>
      <c r="N389" s="269"/>
      <c r="O389" s="269"/>
      <c r="P389" s="269"/>
      <c r="Q389" s="269"/>
      <c r="R389" s="269"/>
      <c r="S389" s="269"/>
      <c r="T389" s="269"/>
      <c r="U389" s="269"/>
    </row>
    <row r="390" spans="2:21">
      <c r="B390"/>
      <c r="C390"/>
      <c r="D390" s="1191"/>
      <c r="E390" s="1191"/>
      <c r="F390" s="1191"/>
      <c r="G390" s="1191"/>
      <c r="H390" s="1191"/>
      <c r="I390" s="1191"/>
      <c r="J390" s="1191"/>
      <c r="K390" s="1191"/>
      <c r="L390" s="1191"/>
      <c r="M390" s="269"/>
      <c r="N390" s="269"/>
      <c r="O390" s="269"/>
      <c r="P390" s="269"/>
      <c r="Q390" s="269"/>
      <c r="R390" s="269"/>
      <c r="S390" s="269"/>
      <c r="T390" s="269"/>
      <c r="U390" s="269"/>
    </row>
    <row r="391" spans="2:21">
      <c r="B391" s="391" t="s">
        <v>1338</v>
      </c>
      <c r="D391" s="265" t="s">
        <v>1339</v>
      </c>
      <c r="E391"/>
      <c r="F391"/>
      <c r="G391"/>
      <c r="H391"/>
      <c r="M391" s="269"/>
      <c r="N391" s="269"/>
      <c r="O391" s="269"/>
      <c r="P391" s="269"/>
      <c r="Q391" s="269"/>
      <c r="R391" s="269"/>
      <c r="S391" s="269"/>
      <c r="T391" s="269"/>
      <c r="U391" s="269"/>
    </row>
    <row r="393" spans="2:21">
      <c r="B393" s="391" t="s">
        <v>1340</v>
      </c>
      <c r="D393" s="265" t="s">
        <v>1341</v>
      </c>
    </row>
  </sheetData>
  <mergeCells count="26">
    <mergeCell ref="D389:L390"/>
    <mergeCell ref="G269:I269"/>
    <mergeCell ref="D384:L386"/>
    <mergeCell ref="D296:L296"/>
    <mergeCell ref="D308:L308"/>
    <mergeCell ref="D304:L305"/>
    <mergeCell ref="D339:L342"/>
    <mergeCell ref="D368:L373"/>
    <mergeCell ref="D376:L378"/>
    <mergeCell ref="D323:K325"/>
    <mergeCell ref="D299:K300"/>
    <mergeCell ref="D336:K337"/>
    <mergeCell ref="D326:J327"/>
    <mergeCell ref="D344:L346"/>
    <mergeCell ref="D332:J334"/>
    <mergeCell ref="D319:K321"/>
    <mergeCell ref="D379:L380"/>
    <mergeCell ref="D381:L382"/>
    <mergeCell ref="D383:L383"/>
    <mergeCell ref="E185:E186"/>
    <mergeCell ref="B24:I25"/>
    <mergeCell ref="I60:J60"/>
    <mergeCell ref="I63:J63"/>
    <mergeCell ref="I140:J140"/>
    <mergeCell ref="I143:J143"/>
    <mergeCell ref="D42:L42"/>
  </mergeCells>
  <phoneticPr fontId="0" type="noConversion"/>
  <pageMargins left="0.26" right="0.37" top="1" bottom="1" header="0.86" footer="0.5"/>
  <pageSetup scale="36" fitToHeight="5" orientation="portrait" r:id="rId1"/>
  <headerFooter alignWithMargins="0">
    <oddHeader>&amp;R&amp;"Arial,Bold"Formula Rate 
&amp;A
Page &amp;P of &amp;N</oddHeader>
  </headerFooter>
  <rowBreaks count="4" manualBreakCount="4">
    <brk id="53" max="11" man="1"/>
    <brk id="132" max="11" man="1"/>
    <brk id="222" max="11" man="1"/>
    <brk id="276"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V49"/>
  <sheetViews>
    <sheetView tabSelected="1" view="pageBreakPreview" topLeftCell="A6" zoomScaleNormal="100" zoomScaleSheetLayoutView="100" workbookViewId="0">
      <selection activeCell="D9" sqref="D9"/>
    </sheetView>
  </sheetViews>
  <sheetFormatPr defaultColWidth="9.140625" defaultRowHeight="15"/>
  <cols>
    <col min="1" max="1" width="9.42578125" style="403" customWidth="1"/>
    <col min="2" max="2" width="6.5703125" style="403" customWidth="1"/>
    <col min="3" max="8" width="14.5703125" style="403" customWidth="1"/>
    <col min="9" max="9" width="14.85546875" style="403" bestFit="1" customWidth="1"/>
    <col min="10" max="11" width="16.5703125" style="403" bestFit="1" customWidth="1"/>
    <col min="12" max="13" width="22.140625" style="403" bestFit="1" customWidth="1"/>
    <col min="14" max="14" width="8.42578125" style="403" customWidth="1"/>
    <col min="15" max="38" width="12.5703125" style="403" customWidth="1"/>
    <col min="39" max="16384" width="9.140625" style="403"/>
  </cols>
  <sheetData>
    <row r="1" spans="1:22" ht="15.75">
      <c r="A1" s="693" t="s">
        <v>116</v>
      </c>
    </row>
    <row r="2" spans="1:22" ht="15.75">
      <c r="A2" s="693" t="s">
        <v>116</v>
      </c>
    </row>
    <row r="3" spans="1:22">
      <c r="A3" s="1210" t="str">
        <f>+'WS C  - Working Capital'!A3:L3</f>
        <v>AEP East Companies</v>
      </c>
      <c r="B3" s="1210"/>
      <c r="C3" s="1210"/>
      <c r="D3" s="1210"/>
      <c r="E3" s="1210"/>
      <c r="F3" s="1210"/>
      <c r="G3" s="1210"/>
      <c r="H3" s="1210"/>
      <c r="I3" s="1210"/>
      <c r="J3" s="1210"/>
      <c r="K3" s="1210"/>
      <c r="L3" s="30"/>
      <c r="M3" s="30"/>
      <c r="N3" s="30"/>
      <c r="O3" s="30"/>
    </row>
    <row r="4" spans="1:22">
      <c r="A4" s="1211" t="str">
        <f>"Cost of Service Formula Rate Using Actual/Projected FF1 Balances"</f>
        <v>Cost of Service Formula Rate Using Actual/Projected FF1 Balances</v>
      </c>
      <c r="B4" s="1211"/>
      <c r="C4" s="1211"/>
      <c r="D4" s="1211"/>
      <c r="E4" s="1211"/>
      <c r="F4" s="1211"/>
      <c r="G4" s="1211"/>
      <c r="H4" s="1211"/>
      <c r="I4" s="1211"/>
      <c r="J4" s="1211"/>
      <c r="K4" s="1211"/>
      <c r="L4" s="78"/>
      <c r="M4" s="78"/>
      <c r="N4" s="78"/>
      <c r="O4" s="78"/>
    </row>
    <row r="5" spans="1:22">
      <c r="A5" s="1211" t="s">
        <v>239</v>
      </c>
      <c r="B5" s="1211"/>
      <c r="C5" s="1211"/>
      <c r="D5" s="1211"/>
      <c r="E5" s="1211"/>
      <c r="F5" s="1211"/>
      <c r="G5" s="1211"/>
      <c r="H5" s="1211"/>
      <c r="I5" s="1211"/>
      <c r="J5" s="1211"/>
      <c r="K5" s="1211"/>
      <c r="L5" s="77"/>
      <c r="M5" s="77"/>
      <c r="N5" s="77"/>
      <c r="O5" s="77"/>
    </row>
    <row r="6" spans="1:22">
      <c r="A6" s="1219" t="str">
        <f>TCOS!F9</f>
        <v>KENTUCKY POWER COMPANY</v>
      </c>
      <c r="B6" s="1219"/>
      <c r="C6" s="1219"/>
      <c r="D6" s="1219"/>
      <c r="E6" s="1219"/>
      <c r="F6" s="1219"/>
      <c r="G6" s="1219"/>
      <c r="H6" s="1219"/>
      <c r="I6" s="1219"/>
      <c r="J6" s="1219"/>
      <c r="K6" s="1219"/>
      <c r="L6" s="3"/>
      <c r="M6" s="3"/>
      <c r="N6" s="3"/>
      <c r="O6" s="3"/>
    </row>
    <row r="8" spans="1:22" ht="18">
      <c r="A8" s="1241"/>
      <c r="B8" s="1241"/>
      <c r="C8" s="1241"/>
      <c r="D8" s="1241"/>
      <c r="E8" s="1241"/>
      <c r="F8" s="1241"/>
      <c r="G8" s="1241"/>
      <c r="H8" s="1241"/>
      <c r="I8" s="1241"/>
      <c r="J8" s="1241"/>
      <c r="K8" s="1241"/>
      <c r="L8" s="404"/>
      <c r="M8" s="405"/>
    </row>
    <row r="9" spans="1:22" ht="18">
      <c r="A9" s="132"/>
      <c r="B9" s="132"/>
      <c r="C9" s="132"/>
      <c r="D9" s="132"/>
      <c r="E9" s="132"/>
      <c r="F9" s="132"/>
      <c r="G9" s="132"/>
      <c r="H9" s="132"/>
      <c r="I9" s="132"/>
      <c r="J9" s="132"/>
      <c r="K9" s="132"/>
      <c r="L9" s="404"/>
      <c r="M9" s="405"/>
    </row>
    <row r="10" spans="1:22" ht="15.75">
      <c r="A10" s="406" t="s">
        <v>171</v>
      </c>
      <c r="B10" s="404"/>
      <c r="C10" s="29"/>
      <c r="D10" s="29"/>
      <c r="E10" s="29"/>
      <c r="F10" s="29"/>
      <c r="G10" s="407"/>
      <c r="H10" s="407"/>
      <c r="I10" s="406" t="s">
        <v>184</v>
      </c>
      <c r="J10" s="406" t="s">
        <v>28</v>
      </c>
      <c r="K10" s="408"/>
      <c r="N10" s="409"/>
      <c r="P10" s="409"/>
      <c r="R10" s="409"/>
      <c r="S10" s="409"/>
      <c r="T10" s="409"/>
      <c r="U10" s="2"/>
      <c r="V10" s="2"/>
    </row>
    <row r="11" spans="1:22" ht="15.75">
      <c r="A11" s="406" t="s">
        <v>107</v>
      </c>
      <c r="B11" s="1242" t="s">
        <v>169</v>
      </c>
      <c r="C11" s="1242"/>
      <c r="D11" s="1242"/>
      <c r="E11" s="1242"/>
      <c r="F11" s="1242"/>
      <c r="G11" s="1242"/>
      <c r="H11" s="1242"/>
      <c r="I11" s="406" t="s">
        <v>185</v>
      </c>
      <c r="J11" s="406" t="s">
        <v>117</v>
      </c>
      <c r="K11" s="406" t="s">
        <v>117</v>
      </c>
      <c r="N11" s="409"/>
      <c r="O11" s="409"/>
      <c r="P11" s="409"/>
      <c r="Q11" s="409"/>
      <c r="R11" s="409"/>
      <c r="S11" s="409"/>
      <c r="T11" s="410"/>
      <c r="U11" s="2"/>
      <c r="V11" s="2"/>
    </row>
    <row r="12" spans="1:22" ht="15.75">
      <c r="A12" s="407"/>
      <c r="B12" s="411"/>
      <c r="C12" s="404"/>
      <c r="D12" s="407"/>
      <c r="E12" s="407"/>
      <c r="F12" s="407"/>
      <c r="G12" s="407"/>
      <c r="H12" s="407"/>
      <c r="I12" s="407"/>
      <c r="J12" s="407"/>
      <c r="K12" s="412"/>
      <c r="N12" s="409"/>
      <c r="O12" s="409"/>
      <c r="P12" s="409"/>
      <c r="Q12" s="409"/>
      <c r="R12" s="409"/>
      <c r="S12" s="409"/>
      <c r="T12" s="410"/>
      <c r="U12" s="2"/>
      <c r="V12" s="2"/>
    </row>
    <row r="13" spans="1:22" s="417" customFormat="1" ht="12.75">
      <c r="A13" s="413">
        <v>1</v>
      </c>
      <c r="B13" s="414" t="s">
        <v>484</v>
      </c>
      <c r="C13" s="4"/>
      <c r="D13" s="415"/>
      <c r="E13" s="415"/>
      <c r="F13" s="415"/>
      <c r="G13" s="415"/>
      <c r="H13" s="415"/>
      <c r="I13" s="657">
        <v>1454891.65</v>
      </c>
      <c r="J13" s="416">
        <f>+I13-K12</f>
        <v>1454891.65</v>
      </c>
      <c r="K13" s="657">
        <v>0</v>
      </c>
      <c r="N13" s="4"/>
      <c r="O13" s="4"/>
      <c r="P13" s="4"/>
      <c r="Q13" s="4"/>
      <c r="R13" s="4"/>
      <c r="S13" s="4"/>
      <c r="T13" s="81"/>
      <c r="U13" s="4"/>
      <c r="V13" s="4"/>
    </row>
    <row r="14" spans="1:22" s="417" customFormat="1" ht="12.75">
      <c r="A14" s="418"/>
      <c r="B14" s="419"/>
      <c r="C14" s="420"/>
      <c r="D14" s="421"/>
      <c r="E14" s="421"/>
      <c r="F14" s="421"/>
      <c r="G14" s="421"/>
      <c r="H14" s="415"/>
      <c r="I14" s="422"/>
      <c r="J14" s="415"/>
      <c r="K14" s="422"/>
      <c r="N14" s="4"/>
      <c r="O14" s="4"/>
      <c r="P14" s="4"/>
      <c r="Q14" s="4"/>
      <c r="R14" s="4"/>
      <c r="S14" s="4"/>
      <c r="T14" s="81"/>
      <c r="U14" s="4"/>
      <c r="V14" s="4"/>
    </row>
    <row r="15" spans="1:22" s="417" customFormat="1" ht="12.75">
      <c r="A15" s="413">
        <f>+A13+1</f>
        <v>2</v>
      </c>
      <c r="B15" s="414" t="s">
        <v>485</v>
      </c>
      <c r="C15" s="4"/>
      <c r="D15" s="415"/>
      <c r="E15" s="415"/>
      <c r="F15" s="415"/>
      <c r="G15" s="415"/>
      <c r="H15" s="415"/>
      <c r="I15" s="657">
        <v>75050.290000000008</v>
      </c>
      <c r="J15" s="416">
        <f>+I15-K15</f>
        <v>74976.27</v>
      </c>
      <c r="K15" s="657">
        <v>74.02</v>
      </c>
      <c r="N15" s="4"/>
      <c r="O15" s="4"/>
      <c r="P15" s="4"/>
      <c r="Q15" s="4"/>
      <c r="R15" s="4"/>
      <c r="S15" s="4"/>
      <c r="T15" s="4"/>
      <c r="U15" s="4"/>
      <c r="V15" s="4"/>
    </row>
    <row r="16" spans="1:22" s="417" customFormat="1" ht="12.75">
      <c r="A16" s="418"/>
      <c r="B16" s="419"/>
      <c r="C16" s="420"/>
      <c r="D16" s="421"/>
      <c r="E16" s="421"/>
      <c r="F16" s="421"/>
      <c r="G16" s="421"/>
      <c r="H16" s="415"/>
      <c r="I16" s="415"/>
      <c r="J16" s="415"/>
      <c r="K16" s="415"/>
      <c r="N16" s="4"/>
      <c r="O16" s="4"/>
      <c r="P16" s="4"/>
      <c r="Q16" s="4"/>
      <c r="R16" s="4"/>
      <c r="S16" s="4"/>
      <c r="T16" s="4"/>
      <c r="U16" s="4"/>
      <c r="V16" s="4"/>
    </row>
    <row r="17" spans="1:22" s="417" customFormat="1" ht="12.75">
      <c r="A17" s="413">
        <f>+A15+1</f>
        <v>3</v>
      </c>
      <c r="B17" s="414" t="s">
        <v>486</v>
      </c>
      <c r="C17" s="4"/>
      <c r="D17" s="415"/>
      <c r="E17" s="415"/>
      <c r="F17" s="415"/>
      <c r="G17" s="415"/>
      <c r="H17" s="415"/>
      <c r="I17" s="657">
        <v>9734463.7699999996</v>
      </c>
      <c r="J17" s="416">
        <f>+I17-K17</f>
        <v>8856344.459999999</v>
      </c>
      <c r="K17" s="657">
        <v>878119.31</v>
      </c>
      <c r="N17" s="4"/>
      <c r="O17" s="4"/>
      <c r="P17" s="4"/>
      <c r="Q17" s="4"/>
      <c r="R17" s="4"/>
      <c r="S17" s="4"/>
      <c r="T17" s="4"/>
      <c r="U17" s="4"/>
      <c r="V17" s="4"/>
    </row>
    <row r="18" spans="1:22" s="417" customFormat="1" ht="12.75">
      <c r="A18" s="418"/>
      <c r="B18" s="415"/>
      <c r="C18" s="4"/>
      <c r="D18" s="415"/>
      <c r="E18" s="415"/>
      <c r="F18" s="415"/>
      <c r="G18" s="423"/>
      <c r="H18" s="415"/>
      <c r="I18" s="415"/>
      <c r="J18" s="415"/>
      <c r="K18" s="415"/>
      <c r="N18" s="4"/>
      <c r="O18" s="4"/>
      <c r="P18" s="4"/>
      <c r="Q18" s="4"/>
      <c r="R18" s="4"/>
      <c r="S18" s="4"/>
      <c r="T18" s="4"/>
      <c r="U18" s="4"/>
      <c r="V18" s="4"/>
    </row>
    <row r="19" spans="1:22" s="417" customFormat="1" ht="12.75">
      <c r="A19" s="413">
        <f>+A17+1</f>
        <v>4</v>
      </c>
      <c r="B19" s="414" t="s">
        <v>762</v>
      </c>
      <c r="C19" s="4"/>
      <c r="D19" s="415"/>
      <c r="E19" s="415"/>
      <c r="F19" s="415"/>
      <c r="G19" s="423"/>
      <c r="H19" s="415"/>
      <c r="I19" s="657">
        <v>485531.18</v>
      </c>
      <c r="J19" s="416">
        <f>+I19-K19</f>
        <v>485531.18</v>
      </c>
      <c r="K19" s="657">
        <v>0</v>
      </c>
      <c r="N19" s="425"/>
      <c r="O19" s="4"/>
      <c r="P19" s="4"/>
      <c r="Q19" s="4"/>
      <c r="R19" s="4"/>
      <c r="S19" s="4"/>
      <c r="T19" s="4"/>
      <c r="U19" s="4"/>
      <c r="V19" s="4"/>
    </row>
    <row r="20" spans="1:22" s="417" customFormat="1" ht="12.75">
      <c r="A20" s="418"/>
      <c r="B20" s="414"/>
      <c r="C20" s="4"/>
      <c r="D20" s="415"/>
      <c r="E20" s="415"/>
      <c r="F20" s="415"/>
      <c r="G20" s="423"/>
      <c r="H20" s="415"/>
      <c r="I20" s="4"/>
      <c r="J20" s="4"/>
      <c r="K20" s="4"/>
      <c r="L20" s="4"/>
      <c r="N20" s="425"/>
      <c r="O20" s="4"/>
      <c r="P20" s="4"/>
      <c r="Q20" s="4"/>
      <c r="R20" s="4"/>
      <c r="S20" s="4"/>
      <c r="T20" s="4"/>
      <c r="U20" s="4"/>
      <c r="V20" s="4"/>
    </row>
    <row r="21" spans="1:22" s="417" customFormat="1" ht="12.75">
      <c r="A21" s="413">
        <f>+A19+1</f>
        <v>5</v>
      </c>
      <c r="B21" s="414" t="s">
        <v>763</v>
      </c>
      <c r="C21" s="4"/>
      <c r="D21" s="415"/>
      <c r="E21" s="415"/>
      <c r="F21" s="415"/>
      <c r="G21" s="423"/>
      <c r="H21" s="415"/>
      <c r="I21" s="657">
        <v>53742734.020000011</v>
      </c>
      <c r="J21" s="416">
        <f>+I21-K21</f>
        <v>53665122.520000011</v>
      </c>
      <c r="K21" s="657">
        <v>77611.5</v>
      </c>
      <c r="N21" s="425"/>
      <c r="O21" s="4"/>
      <c r="P21" s="4"/>
      <c r="Q21" s="4"/>
      <c r="R21" s="4"/>
      <c r="S21" s="4"/>
      <c r="T21" s="4"/>
      <c r="U21" s="4"/>
      <c r="V21" s="4"/>
    </row>
    <row r="22" spans="1:22" s="417" customFormat="1" ht="12.75">
      <c r="A22" s="413"/>
      <c r="B22" s="414"/>
      <c r="C22" s="4"/>
      <c r="D22" s="415"/>
      <c r="E22" s="415"/>
      <c r="F22" s="415"/>
      <c r="G22" s="423"/>
      <c r="H22" s="415"/>
      <c r="I22" s="692"/>
      <c r="J22" s="416"/>
      <c r="K22" s="692"/>
      <c r="N22" s="425"/>
      <c r="O22" s="4"/>
      <c r="P22" s="4"/>
      <c r="Q22" s="4"/>
      <c r="R22" s="4"/>
      <c r="S22" s="4"/>
      <c r="T22" s="4"/>
      <c r="U22" s="4"/>
      <c r="V22" s="4"/>
    </row>
    <row r="23" spans="1:22" s="417" customFormat="1" ht="12.75">
      <c r="A23" s="413" t="s">
        <v>623</v>
      </c>
      <c r="B23" s="414" t="s">
        <v>626</v>
      </c>
      <c r="C23" s="4"/>
      <c r="D23" s="415"/>
      <c r="E23" s="415"/>
      <c r="F23" s="415"/>
      <c r="G23" s="423"/>
      <c r="H23" s="415"/>
      <c r="I23" s="657"/>
      <c r="J23" s="416">
        <v>0</v>
      </c>
      <c r="K23" s="657"/>
      <c r="N23" s="425"/>
      <c r="O23" s="4"/>
      <c r="P23" s="4"/>
      <c r="Q23" s="4"/>
      <c r="R23" s="4"/>
      <c r="S23" s="4"/>
      <c r="T23" s="4"/>
      <c r="U23" s="4"/>
      <c r="V23" s="4"/>
    </row>
    <row r="24" spans="1:22" s="417" customFormat="1" ht="12.75">
      <c r="A24" s="413"/>
      <c r="B24" s="414"/>
      <c r="C24" s="4"/>
      <c r="D24" s="415"/>
      <c r="E24" s="415"/>
      <c r="F24" s="415"/>
      <c r="G24" s="423"/>
      <c r="H24" s="415"/>
      <c r="I24" s="692"/>
      <c r="J24" s="416"/>
      <c r="K24" s="692"/>
      <c r="N24" s="425"/>
      <c r="O24" s="4"/>
      <c r="P24" s="4"/>
      <c r="Q24" s="4"/>
      <c r="R24" s="4"/>
      <c r="S24" s="4"/>
      <c r="T24" s="4"/>
      <c r="U24" s="4"/>
      <c r="V24" s="4"/>
    </row>
    <row r="25" spans="1:22" s="417" customFormat="1" ht="12.75">
      <c r="A25" s="413" t="s">
        <v>624</v>
      </c>
      <c r="B25" s="414" t="s">
        <v>625</v>
      </c>
      <c r="C25" s="4"/>
      <c r="D25" s="415"/>
      <c r="E25" s="415"/>
      <c r="F25" s="415"/>
      <c r="G25" s="423"/>
      <c r="H25" s="415"/>
      <c r="I25" s="657"/>
      <c r="J25" s="416">
        <v>0</v>
      </c>
      <c r="K25" s="657"/>
      <c r="N25" s="425"/>
      <c r="O25" s="4"/>
      <c r="P25" s="4"/>
      <c r="Q25" s="4"/>
      <c r="R25" s="4"/>
      <c r="S25" s="4"/>
      <c r="T25" s="4"/>
      <c r="U25" s="4"/>
      <c r="V25" s="4"/>
    </row>
    <row r="26" spans="1:22" s="417" customFormat="1" ht="12.75">
      <c r="A26" s="413"/>
      <c r="B26" s="414"/>
      <c r="C26" s="4"/>
      <c r="D26" s="415"/>
      <c r="E26" s="415"/>
      <c r="F26" s="415"/>
      <c r="G26" s="423"/>
      <c r="H26" s="415"/>
      <c r="I26" s="4"/>
      <c r="J26" s="4"/>
      <c r="N26" s="4"/>
      <c r="O26" s="4"/>
      <c r="P26" s="4"/>
      <c r="Q26" s="4"/>
      <c r="R26" s="4"/>
      <c r="S26" s="4"/>
      <c r="T26" s="4"/>
      <c r="U26" s="4"/>
      <c r="V26" s="4"/>
    </row>
    <row r="27" spans="1:22" s="417" customFormat="1" ht="12.75">
      <c r="A27" s="413">
        <f>+A21+1</f>
        <v>6</v>
      </c>
      <c r="B27" s="414" t="s">
        <v>75</v>
      </c>
      <c r="C27" s="4"/>
      <c r="D27" s="415"/>
      <c r="E27" s="415"/>
      <c r="F27" s="415"/>
      <c r="G27" s="423"/>
      <c r="H27" s="415"/>
      <c r="I27" s="426">
        <f>+I21+I19+I17+I15+I13+I23+I25</f>
        <v>65492670.910000011</v>
      </c>
      <c r="J27" s="426">
        <f>+J21+J19+J17+J15+J13+J23+J25</f>
        <v>64536866.080000013</v>
      </c>
      <c r="K27" s="426">
        <f>+K21+K19+K17+K15+K13+K23+K25</f>
        <v>955804.83000000007</v>
      </c>
      <c r="N27" s="4"/>
      <c r="O27" s="4"/>
      <c r="P27" s="4"/>
      <c r="Q27" s="4"/>
      <c r="R27" s="4"/>
      <c r="S27" s="4"/>
      <c r="T27" s="4"/>
      <c r="U27" s="4"/>
      <c r="V27" s="4"/>
    </row>
    <row r="28" spans="1:22" s="417" customFormat="1" ht="12.75">
      <c r="A28" s="413"/>
      <c r="B28" s="414"/>
      <c r="C28" s="4"/>
      <c r="D28" s="415"/>
      <c r="E28" s="415"/>
      <c r="F28" s="415"/>
      <c r="G28" s="423"/>
      <c r="H28" s="415"/>
      <c r="I28" s="4"/>
      <c r="J28" s="4"/>
      <c r="K28" s="4"/>
      <c r="N28" s="4"/>
      <c r="O28" s="4"/>
      <c r="P28" s="4"/>
      <c r="Q28" s="4"/>
      <c r="R28" s="4"/>
      <c r="S28" s="4"/>
      <c r="T28" s="4"/>
      <c r="U28" s="4"/>
      <c r="V28" s="4"/>
    </row>
    <row r="29" spans="1:22" s="417" customFormat="1" ht="12.75">
      <c r="A29" s="413">
        <f>+A27+1</f>
        <v>7</v>
      </c>
      <c r="B29" s="1240" t="s">
        <v>487</v>
      </c>
      <c r="C29" s="1198"/>
      <c r="D29" s="1198"/>
      <c r="E29" s="1198"/>
      <c r="F29" s="1198"/>
      <c r="G29" s="1198"/>
      <c r="H29" s="415"/>
      <c r="I29" s="657"/>
      <c r="J29" s="416">
        <f>+I29-K29</f>
        <v>0</v>
      </c>
      <c r="K29" s="657"/>
      <c r="N29" s="4"/>
      <c r="O29" s="4"/>
      <c r="P29" s="4"/>
      <c r="Q29" s="4"/>
      <c r="R29" s="4"/>
      <c r="S29" s="4"/>
      <c r="T29" s="4"/>
      <c r="U29" s="4"/>
      <c r="V29" s="4"/>
    </row>
    <row r="30" spans="1:22" s="417" customFormat="1" ht="12.75">
      <c r="A30" s="81"/>
      <c r="B30" s="1198"/>
      <c r="C30" s="1198"/>
      <c r="D30" s="1198"/>
      <c r="E30" s="1198"/>
      <c r="F30" s="1198"/>
      <c r="G30" s="1198"/>
      <c r="H30" s="415"/>
      <c r="I30" s="416"/>
      <c r="J30" s="415"/>
      <c r="K30" s="416"/>
      <c r="N30" s="4"/>
      <c r="O30" s="4"/>
      <c r="P30" s="4"/>
      <c r="Q30" s="4"/>
      <c r="R30" s="4"/>
      <c r="S30" s="4"/>
      <c r="T30" s="4"/>
      <c r="U30" s="4"/>
      <c r="V30" s="4"/>
    </row>
    <row r="31" spans="1:22" s="417" customFormat="1" ht="12.75">
      <c r="A31" s="413">
        <f>+A29+1</f>
        <v>8</v>
      </c>
      <c r="B31" s="419" t="s">
        <v>217</v>
      </c>
      <c r="C31" s="420"/>
      <c r="D31" s="421"/>
      <c r="E31" s="421"/>
      <c r="F31" s="421"/>
      <c r="G31" s="424"/>
      <c r="H31" s="415"/>
      <c r="I31" s="427">
        <f>SUM(I27:I29)</f>
        <v>65492670.910000011</v>
      </c>
      <c r="J31" s="427">
        <f>SUM(J27:J29)</f>
        <v>64536866.080000013</v>
      </c>
      <c r="K31" s="427">
        <f>SUM(K27:K29)</f>
        <v>955804.83000000007</v>
      </c>
      <c r="N31" s="4"/>
      <c r="O31" s="4"/>
      <c r="P31" s="4"/>
      <c r="Q31" s="4"/>
      <c r="R31" s="4"/>
      <c r="S31" s="4"/>
      <c r="T31" s="4"/>
      <c r="U31" s="4"/>
      <c r="V31" s="4"/>
    </row>
    <row r="32" spans="1:22" s="417" customFormat="1" ht="12.75">
      <c r="A32" s="413"/>
      <c r="B32" s="419"/>
      <c r="C32" s="420"/>
      <c r="D32" s="421"/>
      <c r="E32" s="421"/>
      <c r="F32" s="421"/>
      <c r="G32" s="424"/>
      <c r="H32" s="415"/>
      <c r="I32" s="416"/>
      <c r="J32" s="416"/>
      <c r="K32" s="416"/>
      <c r="N32" s="4"/>
      <c r="O32" s="4"/>
      <c r="P32" s="4"/>
      <c r="Q32" s="4"/>
      <c r="R32" s="4"/>
      <c r="S32" s="4"/>
      <c r="T32" s="4"/>
      <c r="U32" s="4"/>
      <c r="V32" s="4"/>
    </row>
    <row r="33" spans="1:22" s="417" customFormat="1" ht="12.75">
      <c r="A33" s="413"/>
      <c r="B33" s="419"/>
      <c r="C33" s="420"/>
      <c r="D33" s="421"/>
      <c r="E33" s="421"/>
      <c r="F33" s="421"/>
      <c r="G33" s="424"/>
      <c r="H33" s="415"/>
      <c r="I33" s="416"/>
      <c r="J33" s="416"/>
      <c r="K33" s="416"/>
      <c r="N33" s="4"/>
      <c r="O33" s="4"/>
      <c r="P33" s="4"/>
      <c r="Q33" s="4"/>
      <c r="R33" s="4"/>
      <c r="S33" s="4"/>
      <c r="T33" s="4"/>
      <c r="U33" s="4"/>
      <c r="V33" s="4"/>
    </row>
    <row r="34" spans="1:22" s="417" customFormat="1" ht="12.75">
      <c r="A34" s="857"/>
      <c r="N34" s="4"/>
      <c r="O34" s="4"/>
      <c r="P34" s="4"/>
      <c r="Q34" s="4"/>
      <c r="R34" s="4"/>
      <c r="S34" s="4"/>
      <c r="T34" s="4"/>
      <c r="U34" s="4"/>
      <c r="V34" s="4"/>
    </row>
    <row r="35" spans="1:22">
      <c r="A35" s="858"/>
      <c r="B35" s="4"/>
      <c r="C35" s="414"/>
      <c r="D35" s="415"/>
      <c r="E35" s="415"/>
      <c r="F35" s="415"/>
      <c r="G35" s="423"/>
      <c r="H35" s="415"/>
      <c r="I35" s="415"/>
      <c r="J35" s="415"/>
      <c r="K35" s="415"/>
      <c r="L35" s="407"/>
      <c r="M35" s="428"/>
      <c r="N35" s="2"/>
      <c r="O35" s="29"/>
      <c r="P35" s="29"/>
      <c r="Q35" s="29"/>
      <c r="R35" s="29"/>
      <c r="S35" s="2"/>
      <c r="T35" s="2"/>
      <c r="U35" s="2"/>
      <c r="V35" s="2"/>
    </row>
    <row r="36" spans="1:22" ht="15" customHeight="1">
      <c r="A36" s="81" t="s">
        <v>501</v>
      </c>
      <c r="B36" s="1239"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KENTUCKY POWER COMPANY's general ledger. The functional amounts identified as transmission revenue also come from the general ledger. </v>
      </c>
      <c r="C36" s="1239"/>
      <c r="D36" s="1239"/>
      <c r="E36" s="1239"/>
      <c r="F36" s="1239"/>
      <c r="G36" s="1239"/>
      <c r="H36" s="1239"/>
      <c r="I36" s="1239"/>
      <c r="J36" s="1239"/>
      <c r="K36" s="4"/>
      <c r="L36" s="29"/>
      <c r="M36" s="29"/>
      <c r="N36" s="2"/>
      <c r="O36" s="29"/>
      <c r="P36" s="29"/>
      <c r="Q36" s="29"/>
      <c r="R36" s="29"/>
      <c r="S36" s="2"/>
      <c r="T36" s="409"/>
      <c r="U36" s="2"/>
      <c r="V36" s="2"/>
    </row>
    <row r="37" spans="1:22" ht="15.75">
      <c r="A37" s="81"/>
      <c r="B37" s="1239"/>
      <c r="C37" s="1239"/>
      <c r="D37" s="1239"/>
      <c r="E37" s="1239"/>
      <c r="F37" s="1239"/>
      <c r="G37" s="1239"/>
      <c r="H37" s="1239"/>
      <c r="I37" s="1239"/>
      <c r="J37" s="1239"/>
      <c r="K37" s="4"/>
      <c r="L37" s="2"/>
      <c r="M37" s="430"/>
      <c r="N37" s="430"/>
      <c r="O37" s="430"/>
      <c r="P37" s="430"/>
      <c r="Q37" s="430"/>
      <c r="R37" s="2"/>
      <c r="S37" s="2"/>
      <c r="T37" s="2"/>
      <c r="U37" s="2"/>
      <c r="V37" s="2"/>
    </row>
    <row r="38" spans="1:22" ht="15.75">
      <c r="A38" s="81" t="s">
        <v>621</v>
      </c>
      <c r="B38" s="856" t="s">
        <v>622</v>
      </c>
      <c r="C38" s="429"/>
      <c r="D38" s="429"/>
      <c r="E38" s="429"/>
      <c r="F38" s="429"/>
      <c r="G38" s="429"/>
      <c r="H38" s="429"/>
      <c r="I38" s="429"/>
      <c r="J38" s="429"/>
      <c r="K38" s="141"/>
      <c r="L38" s="2"/>
      <c r="M38" s="430"/>
      <c r="N38" s="430"/>
      <c r="O38" s="430"/>
      <c r="P38" s="430"/>
      <c r="Q38" s="430"/>
      <c r="R38" s="2"/>
      <c r="S38" s="2"/>
      <c r="T38" s="2"/>
      <c r="U38" s="2"/>
      <c r="V38" s="2"/>
    </row>
    <row r="39" spans="1:22" ht="15.75">
      <c r="A39" s="413">
        <f>+A31+1</f>
        <v>9</v>
      </c>
      <c r="B39" s="414" t="s">
        <v>536</v>
      </c>
      <c r="C39" s="4"/>
      <c r="D39" s="415"/>
      <c r="E39" s="415"/>
      <c r="F39" s="415"/>
      <c r="G39" s="423"/>
      <c r="H39" s="415"/>
      <c r="I39" s="416"/>
      <c r="J39" s="416"/>
      <c r="K39" s="657">
        <v>0</v>
      </c>
      <c r="L39" s="2"/>
      <c r="M39" s="430"/>
      <c r="N39" s="430"/>
      <c r="O39" s="430"/>
      <c r="P39" s="430"/>
      <c r="Q39" s="430"/>
      <c r="R39" s="2"/>
      <c r="S39" s="2"/>
      <c r="T39" s="2"/>
      <c r="U39" s="2"/>
      <c r="V39" s="2"/>
    </row>
    <row r="40" spans="1:22" ht="15.75">
      <c r="A40" s="2"/>
      <c r="B40" s="2"/>
      <c r="E40" s="430"/>
      <c r="F40" s="430"/>
      <c r="G40" s="430"/>
      <c r="H40" s="430"/>
      <c r="I40" s="431"/>
      <c r="J40" s="430"/>
      <c r="K40" s="430"/>
      <c r="L40" s="2"/>
      <c r="M40" s="430"/>
      <c r="N40" s="430"/>
      <c r="O40" s="430"/>
      <c r="P40" s="430"/>
      <c r="Q40" s="430"/>
      <c r="R40" s="2"/>
      <c r="S40" s="2"/>
      <c r="T40" s="2"/>
      <c r="U40" s="2"/>
      <c r="V40" s="2"/>
    </row>
    <row r="41" spans="1:22">
      <c r="A41" s="29"/>
      <c r="B41" s="29"/>
      <c r="C41" s="29"/>
      <c r="D41" s="29"/>
      <c r="E41" s="29"/>
      <c r="F41" s="29"/>
      <c r="G41" s="29"/>
      <c r="H41" s="29"/>
      <c r="I41" s="29"/>
      <c r="J41" s="29"/>
      <c r="K41" s="29"/>
      <c r="L41" s="29"/>
      <c r="M41" s="29"/>
      <c r="N41" s="29"/>
      <c r="O41" s="29"/>
      <c r="P41" s="29"/>
      <c r="Q41" s="29"/>
      <c r="R41" s="29"/>
      <c r="S41" s="29"/>
      <c r="T41" s="29"/>
      <c r="U41" s="29"/>
      <c r="V41" s="29"/>
    </row>
    <row r="42" spans="1:22">
      <c r="A42" s="29"/>
      <c r="B42" s="29"/>
      <c r="C42" s="29"/>
      <c r="D42" s="29"/>
      <c r="E42" s="29"/>
      <c r="F42" s="29"/>
      <c r="G42" s="29"/>
      <c r="H42" s="29"/>
      <c r="I42" s="29"/>
      <c r="J42" s="29"/>
      <c r="K42" s="29"/>
      <c r="L42" s="29"/>
      <c r="M42" s="29"/>
      <c r="N42" s="29"/>
      <c r="O42" s="29"/>
      <c r="P42" s="29"/>
      <c r="Q42" s="29"/>
      <c r="R42" s="29"/>
      <c r="S42" s="29"/>
      <c r="T42" s="29"/>
      <c r="U42" s="29"/>
      <c r="V42" s="29"/>
    </row>
    <row r="43" spans="1:22">
      <c r="A43" s="29"/>
      <c r="B43" s="29"/>
      <c r="C43" s="29"/>
      <c r="D43" s="29"/>
      <c r="E43" s="29"/>
      <c r="F43" s="29"/>
      <c r="G43" s="29"/>
      <c r="H43" s="29"/>
      <c r="I43" s="29"/>
      <c r="J43" s="29"/>
      <c r="K43" s="29"/>
      <c r="L43" s="29"/>
      <c r="M43" s="29"/>
      <c r="N43" s="29"/>
      <c r="O43" s="29"/>
      <c r="P43" s="29"/>
      <c r="Q43" s="29"/>
      <c r="R43" s="29"/>
      <c r="S43" s="29"/>
      <c r="T43" s="29"/>
      <c r="U43" s="29"/>
      <c r="V43" s="29"/>
    </row>
    <row r="44" spans="1:22">
      <c r="A44" s="29"/>
      <c r="B44" s="29"/>
      <c r="C44" s="29"/>
      <c r="D44" s="29"/>
      <c r="E44" s="29"/>
      <c r="F44" s="29"/>
      <c r="G44" s="29"/>
      <c r="H44" s="29"/>
      <c r="I44" s="29"/>
      <c r="J44" s="29"/>
      <c r="K44" s="29"/>
      <c r="L44" s="29"/>
      <c r="M44" s="29"/>
      <c r="N44" s="29"/>
      <c r="O44" s="29"/>
      <c r="P44" s="29"/>
      <c r="Q44" s="29"/>
      <c r="R44" s="29"/>
      <c r="S44" s="29"/>
      <c r="T44" s="29"/>
      <c r="U44" s="29"/>
      <c r="V44" s="29"/>
    </row>
    <row r="45" spans="1:22">
      <c r="A45" s="29"/>
      <c r="B45" s="29"/>
      <c r="C45" s="29"/>
      <c r="D45" s="29"/>
      <c r="E45" s="29"/>
      <c r="F45" s="29"/>
      <c r="G45" s="29"/>
      <c r="H45" s="29"/>
      <c r="I45" s="29"/>
      <c r="J45" s="29"/>
      <c r="K45" s="29"/>
      <c r="L45" s="29"/>
      <c r="M45" s="29"/>
      <c r="N45" s="29"/>
      <c r="O45" s="29"/>
      <c r="P45" s="29"/>
      <c r="Q45" s="29"/>
      <c r="R45" s="29"/>
      <c r="S45" s="29"/>
      <c r="T45" s="29"/>
      <c r="U45" s="29"/>
      <c r="V45" s="29"/>
    </row>
    <row r="46" spans="1:22">
      <c r="A46" s="29"/>
      <c r="B46" s="29"/>
      <c r="C46" s="29"/>
      <c r="D46" s="29"/>
      <c r="E46" s="29"/>
      <c r="F46" s="29"/>
      <c r="G46" s="29"/>
      <c r="H46" s="29"/>
      <c r="I46" s="29"/>
      <c r="J46" s="29"/>
      <c r="K46" s="29"/>
      <c r="L46" s="29"/>
      <c r="M46" s="29"/>
      <c r="N46" s="29"/>
      <c r="O46" s="29"/>
      <c r="P46" s="29"/>
      <c r="Q46" s="29"/>
      <c r="R46" s="29"/>
      <c r="S46" s="29"/>
      <c r="T46" s="29"/>
      <c r="U46" s="29"/>
      <c r="V46" s="29"/>
    </row>
    <row r="47" spans="1:22">
      <c r="A47" s="29"/>
      <c r="B47" s="29"/>
      <c r="C47" s="29"/>
      <c r="D47" s="29"/>
      <c r="E47" s="29"/>
      <c r="F47" s="29"/>
      <c r="G47" s="29"/>
      <c r="H47" s="29"/>
      <c r="I47" s="29"/>
      <c r="J47" s="29"/>
      <c r="K47" s="29"/>
      <c r="L47" s="29"/>
      <c r="M47" s="29"/>
      <c r="N47" s="29"/>
      <c r="O47" s="29"/>
      <c r="P47" s="29"/>
      <c r="Q47" s="29"/>
      <c r="R47" s="29"/>
      <c r="S47" s="29"/>
      <c r="T47" s="29"/>
      <c r="U47" s="29"/>
      <c r="V47" s="29"/>
    </row>
    <row r="48" spans="1:22">
      <c r="A48" s="29"/>
      <c r="B48" s="29"/>
      <c r="C48" s="29"/>
      <c r="D48" s="29"/>
      <c r="E48" s="29"/>
      <c r="F48" s="29"/>
      <c r="G48" s="29"/>
      <c r="H48" s="29"/>
      <c r="I48" s="29"/>
      <c r="J48" s="29"/>
      <c r="K48" s="29"/>
      <c r="L48" s="29"/>
      <c r="M48" s="29"/>
      <c r="N48" s="29"/>
      <c r="O48" s="29"/>
      <c r="P48" s="29"/>
      <c r="Q48" s="29"/>
      <c r="R48" s="29"/>
      <c r="S48" s="29"/>
      <c r="T48" s="29"/>
      <c r="U48" s="29"/>
      <c r="V48" s="29"/>
    </row>
    <row r="49" spans="1:22">
      <c r="A49" s="29"/>
      <c r="B49" s="29"/>
      <c r="C49" s="29"/>
      <c r="D49" s="29"/>
      <c r="E49" s="29"/>
      <c r="F49" s="29"/>
      <c r="G49" s="29"/>
      <c r="H49" s="29"/>
      <c r="I49" s="29"/>
      <c r="J49" s="29"/>
      <c r="K49" s="29"/>
      <c r="L49" s="29"/>
      <c r="M49" s="29"/>
      <c r="N49" s="29"/>
      <c r="O49" s="29"/>
      <c r="P49" s="29"/>
      <c r="Q49" s="29"/>
      <c r="R49" s="29"/>
      <c r="S49" s="29"/>
      <c r="T49" s="29"/>
      <c r="U49" s="29"/>
      <c r="V49" s="29"/>
    </row>
  </sheetData>
  <mergeCells count="8">
    <mergeCell ref="B36:J37"/>
    <mergeCell ref="A3:K3"/>
    <mergeCell ref="A4:K4"/>
    <mergeCell ref="A5:K5"/>
    <mergeCell ref="A6:K6"/>
    <mergeCell ref="B29:G30"/>
    <mergeCell ref="A8:K8"/>
    <mergeCell ref="B11:H11"/>
  </mergeCells>
  <phoneticPr fontId="0" type="noConversion"/>
  <pageMargins left="0.26" right="0.63" top="1" bottom="1" header="0.75" footer="0.5"/>
  <pageSetup scale="86" orientation="landscape" r:id="rId1"/>
  <headerFooter alignWithMargins="0">
    <oddHeader>&amp;R&amp;"Arial,Bold"Formula Rate 
&amp;A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S74"/>
  <sheetViews>
    <sheetView tabSelected="1" view="pageBreakPreview" topLeftCell="A16" zoomScale="85" zoomScaleNormal="85" zoomScaleSheetLayoutView="85" workbookViewId="0">
      <selection activeCell="D9" sqref="D9"/>
    </sheetView>
  </sheetViews>
  <sheetFormatPr defaultColWidth="9.140625" defaultRowHeight="15"/>
  <cols>
    <col min="1" max="1" width="10.42578125" style="49" customWidth="1"/>
    <col min="2" max="2" width="15.140625" style="19" customWidth="1"/>
    <col min="3" max="3" width="62.42578125" style="6" customWidth="1"/>
    <col min="4" max="4" width="15.5703125" style="6" customWidth="1"/>
    <col min="5" max="5" width="22" style="6" customWidth="1"/>
    <col min="6" max="6" width="17.42578125" style="6" customWidth="1"/>
    <col min="7" max="7" width="47.5703125" style="6" customWidth="1"/>
    <col min="8" max="8" width="13.85546875" style="6" customWidth="1"/>
    <col min="9" max="9" width="9.140625" style="6"/>
    <col min="10" max="10" width="12.42578125" style="6" bestFit="1" customWidth="1"/>
    <col min="11" max="11" width="13.42578125" style="6" customWidth="1"/>
    <col min="12" max="16384" width="9.140625" style="6"/>
  </cols>
  <sheetData>
    <row r="1" spans="1:11" ht="15.75">
      <c r="A1" s="693" t="s">
        <v>116</v>
      </c>
    </row>
    <row r="2" spans="1:11" ht="15.75">
      <c r="A2" s="693" t="s">
        <v>116</v>
      </c>
    </row>
    <row r="3" spans="1:11">
      <c r="A3" s="1210" t="s">
        <v>389</v>
      </c>
      <c r="B3" s="1210"/>
      <c r="C3" s="1210"/>
      <c r="D3" s="1210"/>
      <c r="E3" s="1210"/>
      <c r="F3" s="1210"/>
      <c r="G3" s="1210"/>
      <c r="H3" s="30"/>
    </row>
    <row r="4" spans="1:11" ht="17.25" customHeight="1">
      <c r="A4" s="1211" t="str">
        <f>"Cost of Service Formula Rate Using Actual/Projected FF1 Balances"</f>
        <v>Cost of Service Formula Rate Using Actual/Projected FF1 Balances</v>
      </c>
      <c r="B4" s="1211"/>
      <c r="C4" s="1211"/>
      <c r="D4" s="1211"/>
      <c r="E4" s="1211"/>
      <c r="F4" s="1211"/>
      <c r="G4" s="1211"/>
      <c r="H4" s="77"/>
      <c r="I4" s="77"/>
      <c r="J4" s="77"/>
      <c r="K4" s="77"/>
    </row>
    <row r="5" spans="1:11" ht="18" customHeight="1">
      <c r="A5" s="1211" t="s">
        <v>490</v>
      </c>
      <c r="B5" s="1211"/>
      <c r="C5" s="1211"/>
      <c r="D5" s="1211"/>
      <c r="E5" s="1211"/>
      <c r="F5" s="1211"/>
      <c r="G5" s="1211"/>
    </row>
    <row r="6" spans="1:11" ht="19.5" customHeight="1">
      <c r="A6" s="1219" t="str">
        <f>TCOS!F9</f>
        <v>KENTUCKY POWER COMPANY</v>
      </c>
      <c r="B6" s="1219"/>
      <c r="C6" s="1219"/>
      <c r="D6" s="1219"/>
      <c r="E6" s="1219"/>
      <c r="F6" s="1219"/>
      <c r="G6" s="1219"/>
    </row>
    <row r="7" spans="1:11" ht="12.75" customHeight="1">
      <c r="A7" s="1210"/>
      <c r="B7" s="1210"/>
      <c r="C7" s="1210"/>
      <c r="D7" s="1210"/>
      <c r="E7" s="1210"/>
      <c r="F7" s="1210"/>
      <c r="G7" s="37"/>
    </row>
    <row r="8" spans="1:11" ht="18">
      <c r="A8" s="1241"/>
      <c r="B8" s="1241"/>
      <c r="C8" s="1241"/>
      <c r="D8" s="1241"/>
      <c r="E8" s="1241"/>
      <c r="F8" s="1241"/>
      <c r="G8" s="1241"/>
    </row>
    <row r="9" spans="1:11" ht="18">
      <c r="A9" s="132"/>
      <c r="B9" s="132"/>
      <c r="C9" s="132"/>
      <c r="D9" s="132"/>
      <c r="E9" s="132"/>
      <c r="F9" s="132"/>
      <c r="G9" s="132"/>
    </row>
    <row r="10" spans="1:11" ht="15.75">
      <c r="B10" s="27" t="s">
        <v>164</v>
      </c>
      <c r="C10" s="27" t="s">
        <v>165</v>
      </c>
      <c r="D10" s="27" t="s">
        <v>166</v>
      </c>
      <c r="E10" s="27" t="s">
        <v>167</v>
      </c>
      <c r="F10" s="27" t="s">
        <v>85</v>
      </c>
      <c r="G10" s="27" t="s">
        <v>86</v>
      </c>
    </row>
    <row r="11" spans="1:11" ht="15.75">
      <c r="B11" s="41"/>
      <c r="C11" s="37"/>
      <c r="D11" s="164"/>
      <c r="E11" s="165"/>
      <c r="F11" s="166" t="s">
        <v>88</v>
      </c>
      <c r="G11" s="27"/>
    </row>
    <row r="12" spans="1:11" ht="15.75">
      <c r="A12" s="44" t="s">
        <v>171</v>
      </c>
      <c r="B12" s="41"/>
      <c r="C12" s="50"/>
      <c r="D12" s="44">
        <f>+TCOS!L4</f>
        <v>2025</v>
      </c>
      <c r="E12" s="166" t="s">
        <v>88</v>
      </c>
      <c r="F12" s="44" t="s">
        <v>117</v>
      </c>
      <c r="G12" s="27"/>
    </row>
    <row r="13" spans="1:11" ht="15.75">
      <c r="A13" s="44" t="s">
        <v>107</v>
      </c>
      <c r="B13" s="44" t="s">
        <v>37</v>
      </c>
      <c r="C13" s="44" t="s">
        <v>169</v>
      </c>
      <c r="D13" s="44" t="s">
        <v>38</v>
      </c>
      <c r="E13" s="44" t="s">
        <v>90</v>
      </c>
      <c r="F13" s="44" t="s">
        <v>39</v>
      </c>
      <c r="G13" s="44" t="s">
        <v>40</v>
      </c>
    </row>
    <row r="14" spans="1:11" ht="15.75">
      <c r="B14" s="44"/>
      <c r="C14" s="44"/>
      <c r="D14" s="44"/>
      <c r="E14" s="44"/>
      <c r="F14" s="44"/>
      <c r="G14" s="44"/>
    </row>
    <row r="15" spans="1:11" ht="15.75">
      <c r="B15" s="44"/>
      <c r="C15" s="44"/>
      <c r="D15" s="44"/>
      <c r="E15" s="44"/>
      <c r="F15" s="44"/>
      <c r="G15" s="44"/>
    </row>
    <row r="16" spans="1:11" ht="15.75">
      <c r="B16" s="44"/>
      <c r="D16" s="44"/>
      <c r="E16" s="44"/>
      <c r="F16" s="44"/>
      <c r="G16" s="44"/>
    </row>
    <row r="17" spans="1:7" ht="15.75">
      <c r="B17" s="44"/>
      <c r="C17" s="44" t="s">
        <v>498</v>
      </c>
      <c r="D17" s="35"/>
      <c r="E17" s="35"/>
      <c r="F17" s="35"/>
      <c r="G17" s="73"/>
    </row>
    <row r="18" spans="1:7">
      <c r="A18" s="49">
        <v>1</v>
      </c>
      <c r="B18" s="658">
        <v>5660009</v>
      </c>
      <c r="C18" s="659" t="s">
        <v>928</v>
      </c>
      <c r="D18" s="956">
        <v>0</v>
      </c>
      <c r="E18" s="55"/>
      <c r="F18" s="55"/>
      <c r="G18" s="687"/>
    </row>
    <row r="19" spans="1:7">
      <c r="A19" s="49">
        <v>2</v>
      </c>
      <c r="B19" s="658"/>
      <c r="C19" s="659"/>
      <c r="D19" s="956">
        <v>0</v>
      </c>
      <c r="E19" s="55"/>
      <c r="F19" s="55"/>
      <c r="G19" s="34"/>
    </row>
    <row r="20" spans="1:7">
      <c r="A20" s="49">
        <v>3</v>
      </c>
      <c r="B20" s="658"/>
      <c r="C20" s="659"/>
      <c r="D20" s="660"/>
      <c r="E20" s="55"/>
      <c r="F20" s="55"/>
      <c r="G20" s="34"/>
    </row>
    <row r="21" spans="1:7" ht="15.75">
      <c r="A21" s="49">
        <v>4</v>
      </c>
      <c r="B21" s="44"/>
      <c r="C21" s="194" t="s">
        <v>120</v>
      </c>
      <c r="D21" s="245">
        <f>SUM(D18:D19)</f>
        <v>0</v>
      </c>
      <c r="E21" s="55"/>
      <c r="F21" s="55"/>
      <c r="G21" s="44"/>
    </row>
    <row r="22" spans="1:7" ht="15.75">
      <c r="B22" s="44"/>
      <c r="C22" s="194"/>
      <c r="D22" s="207"/>
      <c r="E22" s="35"/>
      <c r="F22" s="35"/>
      <c r="G22" s="44"/>
    </row>
    <row r="23" spans="1:7" ht="15.75">
      <c r="A23" s="6"/>
      <c r="B23" s="44"/>
      <c r="C23" s="44" t="s">
        <v>50</v>
      </c>
      <c r="D23" s="52"/>
      <c r="E23" s="35"/>
      <c r="F23" s="35"/>
      <c r="G23" s="44"/>
    </row>
    <row r="24" spans="1:7" ht="15.75">
      <c r="A24" s="43">
        <f>+A21+1</f>
        <v>5</v>
      </c>
      <c r="B24" s="17"/>
      <c r="C24" s="203"/>
      <c r="D24" s="859"/>
      <c r="E24" s="35"/>
      <c r="F24" s="35"/>
      <c r="G24" s="44"/>
    </row>
    <row r="25" spans="1:7" ht="15.75">
      <c r="A25" s="242">
        <f>+A24+1</f>
        <v>6</v>
      </c>
      <c r="B25" s="950" t="s">
        <v>51</v>
      </c>
      <c r="C25" s="950" t="s">
        <v>52</v>
      </c>
      <c r="D25" s="1037">
        <v>0</v>
      </c>
      <c r="E25" s="35"/>
      <c r="F25" s="35"/>
      <c r="G25" s="44"/>
    </row>
    <row r="26" spans="1:7" ht="15.75">
      <c r="A26" s="43">
        <f>+A25+1</f>
        <v>7</v>
      </c>
      <c r="B26" s="950" t="s">
        <v>53</v>
      </c>
      <c r="C26" s="950" t="s">
        <v>54</v>
      </c>
      <c r="D26" s="1037">
        <v>695070.92</v>
      </c>
      <c r="E26" s="35"/>
      <c r="F26" s="35"/>
      <c r="G26" s="44"/>
    </row>
    <row r="27" spans="1:7" ht="15.75">
      <c r="A27" s="242">
        <f t="shared" ref="A27:A32" si="0">+A26+1</f>
        <v>8</v>
      </c>
      <c r="B27" s="950" t="s">
        <v>55</v>
      </c>
      <c r="C27" s="950" t="s">
        <v>56</v>
      </c>
      <c r="D27" s="1037">
        <v>-109.19</v>
      </c>
      <c r="E27" s="35"/>
      <c r="F27" s="35"/>
      <c r="G27" s="44"/>
    </row>
    <row r="28" spans="1:7" ht="15.75">
      <c r="A28" s="43">
        <f t="shared" si="0"/>
        <v>9</v>
      </c>
      <c r="B28" s="950" t="s">
        <v>57</v>
      </c>
      <c r="C28" s="950" t="s">
        <v>58</v>
      </c>
      <c r="D28" s="1037">
        <v>1411271.62</v>
      </c>
      <c r="E28" s="35"/>
      <c r="F28" s="35"/>
      <c r="G28" s="44"/>
    </row>
    <row r="29" spans="1:7" ht="15.75">
      <c r="A29" s="242">
        <f t="shared" si="0"/>
        <v>10</v>
      </c>
      <c r="B29" s="950" t="s">
        <v>59</v>
      </c>
      <c r="C29" s="950" t="s">
        <v>60</v>
      </c>
      <c r="D29" s="1037">
        <v>107673.31</v>
      </c>
      <c r="E29" s="35"/>
      <c r="F29" s="35"/>
      <c r="G29" s="44"/>
    </row>
    <row r="30" spans="1:7" ht="15.75">
      <c r="A30" s="43">
        <f t="shared" si="0"/>
        <v>11</v>
      </c>
      <c r="B30" s="950" t="s">
        <v>61</v>
      </c>
      <c r="C30" s="950" t="s">
        <v>62</v>
      </c>
      <c r="D30" s="1037">
        <v>5.36</v>
      </c>
      <c r="E30" s="35"/>
      <c r="F30" s="35"/>
      <c r="G30" s="44"/>
    </row>
    <row r="31" spans="1:7" ht="15.75">
      <c r="A31" s="242">
        <f t="shared" si="0"/>
        <v>12</v>
      </c>
      <c r="B31" s="950" t="s">
        <v>63</v>
      </c>
      <c r="C31" s="950" t="s">
        <v>64</v>
      </c>
      <c r="D31" s="1037">
        <v>0</v>
      </c>
      <c r="E31" s="35"/>
      <c r="F31" s="35"/>
      <c r="G31" s="44"/>
    </row>
    <row r="32" spans="1:7" ht="15.75">
      <c r="A32" s="43">
        <f t="shared" si="0"/>
        <v>13</v>
      </c>
      <c r="B32" s="950" t="s">
        <v>65</v>
      </c>
      <c r="C32" s="950" t="s">
        <v>66</v>
      </c>
      <c r="D32" s="1037">
        <v>408876.66000000003</v>
      </c>
      <c r="E32" s="35"/>
      <c r="F32" s="35"/>
      <c r="G32" s="44"/>
    </row>
    <row r="33" spans="1:19" ht="15.75">
      <c r="A33" s="49">
        <f>+A32+1</f>
        <v>14</v>
      </c>
      <c r="B33" s="221"/>
      <c r="C33" s="27" t="s">
        <v>67</v>
      </c>
      <c r="D33" s="222">
        <f>SUM(D24:D32)</f>
        <v>2622788.6800000002</v>
      </c>
      <c r="E33" s="35"/>
      <c r="F33" s="35"/>
      <c r="G33" s="44"/>
    </row>
    <row r="34" spans="1:19" ht="15.75">
      <c r="A34" s="191"/>
      <c r="B34" s="54"/>
      <c r="C34" s="44"/>
      <c r="D34" s="44"/>
      <c r="E34" s="44"/>
      <c r="F34" s="44"/>
      <c r="G34" s="44"/>
    </row>
    <row r="35" spans="1:19" ht="15.75">
      <c r="A35" s="191"/>
      <c r="B35" s="43"/>
      <c r="C35" s="80" t="s">
        <v>214</v>
      </c>
      <c r="D35" s="37"/>
      <c r="E35" s="37"/>
      <c r="F35" s="37"/>
      <c r="G35" s="37"/>
    </row>
    <row r="36" spans="1:19">
      <c r="A36" s="49">
        <f>+A33+1</f>
        <v>15</v>
      </c>
      <c r="B36" s="658" t="s">
        <v>908</v>
      </c>
      <c r="C36" s="659" t="s">
        <v>878</v>
      </c>
      <c r="D36" s="956">
        <v>9672.9500000000007</v>
      </c>
      <c r="E36" s="35">
        <f>D36-F36</f>
        <v>7071.59</v>
      </c>
      <c r="F36" s="35">
        <v>2601.36</v>
      </c>
      <c r="G36" s="34"/>
    </row>
    <row r="37" spans="1:19">
      <c r="A37" s="49">
        <f>+A36+1</f>
        <v>16</v>
      </c>
      <c r="B37" s="658" t="s">
        <v>1147</v>
      </c>
      <c r="C37" s="659" t="s">
        <v>1149</v>
      </c>
      <c r="D37" s="956">
        <v>0</v>
      </c>
      <c r="E37" s="35">
        <f t="shared" ref="E37:E42" si="1">D37-F37</f>
        <v>0</v>
      </c>
      <c r="F37" s="35">
        <v>0</v>
      </c>
      <c r="G37" s="34" t="s">
        <v>116</v>
      </c>
    </row>
    <row r="38" spans="1:19">
      <c r="A38" s="49">
        <f t="shared" ref="A38:A41" si="2">+A37+1</f>
        <v>17</v>
      </c>
      <c r="B38" s="658" t="s">
        <v>909</v>
      </c>
      <c r="C38" s="659" t="s">
        <v>911</v>
      </c>
      <c r="D38" s="956">
        <v>2237220.1800000002</v>
      </c>
      <c r="E38" s="35">
        <f t="shared" si="1"/>
        <v>1544727.6700000002</v>
      </c>
      <c r="F38" s="35">
        <v>692492.51</v>
      </c>
      <c r="G38" s="34" t="s">
        <v>116</v>
      </c>
    </row>
    <row r="39" spans="1:19">
      <c r="A39" s="49">
        <f t="shared" si="2"/>
        <v>18</v>
      </c>
      <c r="B39" s="658" t="s">
        <v>909</v>
      </c>
      <c r="C39" s="659" t="s">
        <v>1409</v>
      </c>
      <c r="D39" s="956">
        <v>7950</v>
      </c>
      <c r="E39" s="35">
        <f t="shared" si="1"/>
        <v>7950</v>
      </c>
      <c r="F39" s="35">
        <v>0</v>
      </c>
      <c r="G39" s="34"/>
    </row>
    <row r="40" spans="1:19">
      <c r="A40" s="49">
        <f t="shared" si="2"/>
        <v>19</v>
      </c>
      <c r="B40" s="658" t="s">
        <v>909</v>
      </c>
      <c r="C40" s="659" t="s">
        <v>1410</v>
      </c>
      <c r="D40" s="956">
        <v>125000</v>
      </c>
      <c r="E40" s="35">
        <f t="shared" si="1"/>
        <v>125000</v>
      </c>
      <c r="F40" s="35">
        <v>0</v>
      </c>
      <c r="G40" s="34"/>
    </row>
    <row r="41" spans="1:19">
      <c r="A41" s="49">
        <f t="shared" si="2"/>
        <v>20</v>
      </c>
      <c r="B41" s="658" t="s">
        <v>910</v>
      </c>
      <c r="C41" s="659" t="s">
        <v>912</v>
      </c>
      <c r="D41" s="956">
        <v>99403.63</v>
      </c>
      <c r="E41" s="35">
        <f t="shared" si="1"/>
        <v>80750.150000000009</v>
      </c>
      <c r="F41" s="35">
        <v>18653.48</v>
      </c>
      <c r="G41" s="34"/>
    </row>
    <row r="42" spans="1:19">
      <c r="A42" s="49">
        <f t="shared" ref="A42:A43" si="3">+A41+1</f>
        <v>21</v>
      </c>
      <c r="B42" s="658" t="s">
        <v>1148</v>
      </c>
      <c r="C42" s="659" t="s">
        <v>1150</v>
      </c>
      <c r="D42" s="956">
        <v>1010262.16</v>
      </c>
      <c r="E42" s="35">
        <f t="shared" si="1"/>
        <v>1010262.16</v>
      </c>
      <c r="F42" s="35">
        <v>0</v>
      </c>
      <c r="G42" s="34" t="s">
        <v>116</v>
      </c>
    </row>
    <row r="43" spans="1:19" ht="12.75" customHeight="1">
      <c r="A43" s="49">
        <f t="shared" si="3"/>
        <v>22</v>
      </c>
      <c r="B43" s="658"/>
      <c r="C43" s="659"/>
      <c r="D43" s="659"/>
      <c r="E43" s="38"/>
      <c r="F43" s="39"/>
      <c r="G43" s="37"/>
    </row>
    <row r="44" spans="1:19" ht="15.75" customHeight="1">
      <c r="A44" s="49">
        <f>+A43+1</f>
        <v>23</v>
      </c>
      <c r="B44" s="41"/>
      <c r="C44" s="860" t="s">
        <v>627</v>
      </c>
      <c r="D44" s="51">
        <f>SUM(D36:D42)</f>
        <v>3489508.9200000004</v>
      </c>
      <c r="E44" s="51">
        <f>SUM(E36:E42)</f>
        <v>2775761.5700000003</v>
      </c>
      <c r="F44" s="51">
        <f>SUM(F36:F42)</f>
        <v>713747.35</v>
      </c>
      <c r="G44" s="21"/>
    </row>
    <row r="45" spans="1:19" ht="12.75" customHeight="1">
      <c r="B45" s="41"/>
      <c r="C45" s="42"/>
      <c r="D45" s="53"/>
      <c r="E45" s="23"/>
      <c r="F45" s="23"/>
      <c r="G45" s="37"/>
    </row>
    <row r="46" spans="1:19" ht="15.75">
      <c r="B46" s="43"/>
      <c r="C46" s="80" t="s">
        <v>213</v>
      </c>
      <c r="D46" s="23"/>
      <c r="E46" s="23"/>
      <c r="F46" s="23"/>
      <c r="G46" s="37"/>
    </row>
    <row r="47" spans="1:19">
      <c r="A47" s="49">
        <f>+A44+1</f>
        <v>24</v>
      </c>
      <c r="B47" s="658" t="s">
        <v>913</v>
      </c>
      <c r="C47" s="659" t="s">
        <v>879</v>
      </c>
      <c r="D47" s="956">
        <v>20698.32</v>
      </c>
      <c r="E47" s="35">
        <f t="shared" ref="E47:E54" si="4">D47-F47</f>
        <v>14127.619999999999</v>
      </c>
      <c r="F47" s="35">
        <v>6570.7</v>
      </c>
      <c r="G47"/>
      <c r="M47" s="20"/>
      <c r="N47" s="20"/>
      <c r="O47" s="22"/>
      <c r="P47" s="22"/>
      <c r="Q47" s="22"/>
      <c r="R47" s="22"/>
      <c r="S47" s="22"/>
    </row>
    <row r="48" spans="1:19">
      <c r="A48" s="49">
        <f>+A47+1</f>
        <v>25</v>
      </c>
      <c r="B48" s="658" t="s">
        <v>914</v>
      </c>
      <c r="C48" s="659" t="s">
        <v>918</v>
      </c>
      <c r="D48" s="956">
        <v>28461.53</v>
      </c>
      <c r="E48" s="35">
        <f t="shared" si="4"/>
        <v>19270.439999999999</v>
      </c>
      <c r="F48" s="35">
        <v>9191.09</v>
      </c>
      <c r="G48"/>
      <c r="M48" s="20"/>
      <c r="N48" s="20"/>
      <c r="O48" s="22"/>
      <c r="P48" s="22"/>
      <c r="Q48" s="22"/>
      <c r="R48" s="22"/>
      <c r="S48" s="22"/>
    </row>
    <row r="49" spans="1:19">
      <c r="A49" s="49">
        <f>+A48+1</f>
        <v>26</v>
      </c>
      <c r="B49" s="658" t="s">
        <v>915</v>
      </c>
      <c r="C49" s="659" t="s">
        <v>919</v>
      </c>
      <c r="D49" s="956">
        <v>10041.14</v>
      </c>
      <c r="E49" s="35">
        <f t="shared" si="4"/>
        <v>6561.33</v>
      </c>
      <c r="F49" s="35">
        <v>3479.81</v>
      </c>
      <c r="G49"/>
      <c r="M49" s="20"/>
      <c r="N49" s="20"/>
      <c r="O49" s="22"/>
      <c r="P49" s="22"/>
      <c r="Q49" s="22"/>
      <c r="R49" s="22"/>
      <c r="S49" s="22"/>
    </row>
    <row r="50" spans="1:19">
      <c r="A50" s="49">
        <f>+A49+1</f>
        <v>27</v>
      </c>
      <c r="B50" s="658" t="s">
        <v>1363</v>
      </c>
      <c r="C50" s="659" t="s">
        <v>1366</v>
      </c>
      <c r="D50" s="956">
        <v>-1682.5900000000001</v>
      </c>
      <c r="E50" s="35">
        <f t="shared" si="4"/>
        <v>-1682.5900000000001</v>
      </c>
      <c r="F50" s="35">
        <v>0</v>
      </c>
      <c r="G50"/>
      <c r="M50" s="20"/>
      <c r="N50" s="20"/>
      <c r="O50" s="22"/>
      <c r="P50" s="22"/>
      <c r="Q50" s="22"/>
      <c r="R50" s="22"/>
      <c r="S50" s="22"/>
    </row>
    <row r="51" spans="1:19">
      <c r="A51" s="49">
        <f t="shared" ref="A51:A61" si="5">+A50+1</f>
        <v>28</v>
      </c>
      <c r="B51" s="658" t="s">
        <v>1364</v>
      </c>
      <c r="C51" s="659" t="s">
        <v>1367</v>
      </c>
      <c r="D51" s="956">
        <v>625</v>
      </c>
      <c r="E51" s="35">
        <f t="shared" si="4"/>
        <v>625</v>
      </c>
      <c r="F51" s="35">
        <v>0</v>
      </c>
      <c r="G51"/>
      <c r="M51" s="20"/>
      <c r="N51" s="20"/>
      <c r="O51" s="22"/>
      <c r="P51" s="22"/>
      <c r="Q51" s="22"/>
      <c r="R51" s="22"/>
      <c r="S51" s="22"/>
    </row>
    <row r="52" spans="1:19">
      <c r="A52" s="49">
        <f t="shared" si="5"/>
        <v>29</v>
      </c>
      <c r="B52" s="658" t="s">
        <v>1365</v>
      </c>
      <c r="C52" s="659" t="s">
        <v>1368</v>
      </c>
      <c r="D52" s="956">
        <v>182.68</v>
      </c>
      <c r="E52" s="35">
        <f t="shared" si="4"/>
        <v>13.390000000000015</v>
      </c>
      <c r="F52" s="35">
        <v>169.29</v>
      </c>
      <c r="G52"/>
      <c r="M52" s="20"/>
      <c r="N52" s="20"/>
      <c r="O52" s="22"/>
      <c r="P52" s="22"/>
      <c r="Q52" s="22"/>
      <c r="R52" s="22"/>
      <c r="S52" s="22"/>
    </row>
    <row r="53" spans="1:19">
      <c r="A53" s="49">
        <f t="shared" si="5"/>
        <v>30</v>
      </c>
      <c r="B53" s="658" t="s">
        <v>916</v>
      </c>
      <c r="C53" s="659" t="s">
        <v>920</v>
      </c>
      <c r="D53" s="956">
        <v>33410.770000000004</v>
      </c>
      <c r="E53" s="35">
        <f t="shared" si="4"/>
        <v>33410.480000000003</v>
      </c>
      <c r="F53" s="35">
        <v>0.28999999999999998</v>
      </c>
      <c r="G53"/>
      <c r="M53" s="20"/>
      <c r="N53" s="20"/>
      <c r="O53" s="22"/>
      <c r="P53" s="22"/>
      <c r="Q53" s="22"/>
      <c r="R53" s="22"/>
      <c r="S53" s="22"/>
    </row>
    <row r="54" spans="1:19">
      <c r="A54" s="49">
        <f>A53+1</f>
        <v>31</v>
      </c>
      <c r="B54" s="658" t="s">
        <v>917</v>
      </c>
      <c r="C54" s="659" t="s">
        <v>921</v>
      </c>
      <c r="D54" s="956">
        <v>11487.53</v>
      </c>
      <c r="E54" s="35">
        <f t="shared" si="4"/>
        <v>11487.53</v>
      </c>
      <c r="F54" s="35">
        <v>0</v>
      </c>
      <c r="G54"/>
      <c r="M54" s="20"/>
      <c r="N54" s="20"/>
      <c r="O54" s="22"/>
      <c r="P54" s="22"/>
      <c r="Q54" s="22"/>
      <c r="R54" s="22"/>
      <c r="S54" s="22"/>
    </row>
    <row r="55" spans="1:19">
      <c r="A55" s="49">
        <f>A54+1</f>
        <v>32</v>
      </c>
      <c r="B55" s="658"/>
      <c r="C55" s="659"/>
      <c r="D55" s="660"/>
      <c r="E55" s="35"/>
      <c r="F55" s="35"/>
      <c r="G55"/>
      <c r="M55" s="20"/>
      <c r="N55" s="20"/>
      <c r="O55" s="22"/>
      <c r="P55" s="22"/>
      <c r="Q55" s="22"/>
      <c r="R55" s="22"/>
      <c r="S55" s="22"/>
    </row>
    <row r="56" spans="1:19">
      <c r="A56" s="49">
        <f>A55+1</f>
        <v>33</v>
      </c>
      <c r="B56" s="658"/>
      <c r="C56" s="659"/>
      <c r="D56" s="660"/>
      <c r="E56" s="35"/>
      <c r="F56" s="35"/>
      <c r="G56"/>
      <c r="M56" s="20"/>
      <c r="N56" s="20"/>
      <c r="O56" s="22"/>
      <c r="P56" s="22"/>
      <c r="Q56" s="22"/>
      <c r="R56" s="22"/>
      <c r="S56" s="22"/>
    </row>
    <row r="57" spans="1:19">
      <c r="A57" s="49">
        <f>A56+1</f>
        <v>34</v>
      </c>
      <c r="B57" s="658"/>
      <c r="C57" s="659"/>
      <c r="D57" s="660"/>
      <c r="E57" s="35"/>
      <c r="F57" s="40"/>
      <c r="G57"/>
      <c r="M57" s="20"/>
      <c r="N57" s="20"/>
      <c r="O57" s="22"/>
      <c r="P57" s="22"/>
      <c r="Q57" s="22"/>
      <c r="R57" s="22"/>
      <c r="S57" s="22"/>
    </row>
    <row r="58" spans="1:19">
      <c r="A58" s="49">
        <f t="shared" si="5"/>
        <v>35</v>
      </c>
      <c r="B58" s="658"/>
      <c r="C58" s="659"/>
      <c r="D58" s="660"/>
      <c r="E58" s="35"/>
      <c r="F58" s="40"/>
      <c r="G58"/>
    </row>
    <row r="59" spans="1:19">
      <c r="A59" s="49">
        <f t="shared" si="5"/>
        <v>36</v>
      </c>
      <c r="B59" s="658"/>
      <c r="C59" s="659"/>
      <c r="D59" s="660"/>
      <c r="E59" s="35"/>
      <c r="F59" s="40"/>
      <c r="G59" s="37"/>
    </row>
    <row r="60" spans="1:19">
      <c r="A60" s="49">
        <f t="shared" si="5"/>
        <v>37</v>
      </c>
      <c r="B60" s="658"/>
      <c r="C60" s="659"/>
      <c r="D60" s="660"/>
      <c r="E60" s="35"/>
      <c r="F60" s="40"/>
      <c r="G60" s="37"/>
    </row>
    <row r="61" spans="1:19">
      <c r="A61" s="49">
        <f t="shared" si="5"/>
        <v>38</v>
      </c>
      <c r="B61" s="658"/>
      <c r="C61" s="659"/>
      <c r="D61" s="660"/>
      <c r="E61" s="35"/>
      <c r="F61" s="40"/>
      <c r="G61" s="37"/>
    </row>
    <row r="62" spans="1:19">
      <c r="B62" s="36"/>
      <c r="C62" s="37"/>
      <c r="D62" s="45"/>
      <c r="E62" s="46"/>
      <c r="F62" s="45"/>
      <c r="G62" s="37"/>
    </row>
    <row r="63" spans="1:19" ht="15.75">
      <c r="A63" s="49">
        <f>A61+1</f>
        <v>39</v>
      </c>
      <c r="B63" s="41"/>
      <c r="C63" s="860" t="s">
        <v>628</v>
      </c>
      <c r="D63" s="47">
        <f>SUM(D47:D62)</f>
        <v>103224.38</v>
      </c>
      <c r="E63" s="47">
        <f>SUM(E47:E62)</f>
        <v>83813.200000000012</v>
      </c>
      <c r="F63" s="47">
        <f>SUM(F47:F58)</f>
        <v>19411.180000000004</v>
      </c>
      <c r="G63" s="21"/>
    </row>
    <row r="64" spans="1:19" ht="12.75" customHeight="1">
      <c r="B64" s="29"/>
      <c r="C64" s="29"/>
      <c r="D64" s="29"/>
      <c r="E64" s="29"/>
      <c r="F64" s="29"/>
      <c r="G64" s="29"/>
    </row>
    <row r="65" spans="1:11" ht="15.75">
      <c r="B65" s="27"/>
      <c r="C65" s="80" t="s">
        <v>212</v>
      </c>
      <c r="D65" s="48"/>
      <c r="E65" s="48"/>
      <c r="F65" s="48"/>
      <c r="G65" s="27"/>
    </row>
    <row r="66" spans="1:11">
      <c r="A66" s="49">
        <f>+A63+1</f>
        <v>40</v>
      </c>
      <c r="B66" s="658" t="s">
        <v>880</v>
      </c>
      <c r="C66" s="659" t="s">
        <v>881</v>
      </c>
      <c r="D66" s="956">
        <v>340049.57699999999</v>
      </c>
      <c r="E66" s="35">
        <f t="shared" ref="E66:E70" si="6">D66-F66</f>
        <v>271748.59700000001</v>
      </c>
      <c r="F66" s="35">
        <v>68300.98</v>
      </c>
      <c r="G66" s="20"/>
      <c r="H66" s="20"/>
      <c r="J66" s="22"/>
      <c r="K66" s="22"/>
    </row>
    <row r="67" spans="1:11">
      <c r="A67" s="49">
        <f>+A66+1</f>
        <v>41</v>
      </c>
      <c r="B67" s="658" t="s">
        <v>882</v>
      </c>
      <c r="C67" s="659" t="s">
        <v>883</v>
      </c>
      <c r="D67" s="956">
        <v>98376.403000000006</v>
      </c>
      <c r="E67" s="35">
        <f t="shared" si="6"/>
        <v>90548.377000000008</v>
      </c>
      <c r="F67" s="35">
        <v>7828.0260000000007</v>
      </c>
      <c r="G67" s="20"/>
      <c r="H67" s="20"/>
      <c r="J67" s="22"/>
      <c r="K67" s="22"/>
    </row>
    <row r="68" spans="1:11">
      <c r="A68" s="49">
        <f>+A67+1</f>
        <v>42</v>
      </c>
      <c r="B68" s="658" t="s">
        <v>884</v>
      </c>
      <c r="C68" s="659" t="s">
        <v>885</v>
      </c>
      <c r="D68" s="956">
        <v>17.89</v>
      </c>
      <c r="E68" s="35">
        <f t="shared" si="6"/>
        <v>17.89</v>
      </c>
      <c r="F68" s="35">
        <v>0</v>
      </c>
      <c r="G68" s="20"/>
      <c r="H68" s="20"/>
      <c r="J68" s="22"/>
      <c r="K68" s="22"/>
    </row>
    <row r="69" spans="1:11">
      <c r="A69" s="49">
        <f t="shared" ref="A69:A71" si="7">+A68+1</f>
        <v>43</v>
      </c>
      <c r="B69" s="658" t="s">
        <v>886</v>
      </c>
      <c r="C69" s="659" t="s">
        <v>1069</v>
      </c>
      <c r="D69" s="956">
        <v>39538.17</v>
      </c>
      <c r="E69" s="35">
        <f t="shared" si="6"/>
        <v>39538.17</v>
      </c>
      <c r="F69" s="35">
        <v>0</v>
      </c>
      <c r="G69" s="20"/>
      <c r="H69" s="20"/>
      <c r="J69" s="22"/>
      <c r="K69" s="22"/>
    </row>
    <row r="70" spans="1:11">
      <c r="A70" s="49">
        <f t="shared" si="7"/>
        <v>44</v>
      </c>
      <c r="B70" s="658" t="s">
        <v>887</v>
      </c>
      <c r="C70" s="659" t="s">
        <v>888</v>
      </c>
      <c r="D70" s="956">
        <v>250371.93</v>
      </c>
      <c r="E70" s="35">
        <f t="shared" si="6"/>
        <v>214554.41999999998</v>
      </c>
      <c r="F70" s="35">
        <v>35817.51</v>
      </c>
      <c r="G70" s="20"/>
      <c r="H70" s="20"/>
      <c r="J70" s="22"/>
      <c r="K70" s="22"/>
    </row>
    <row r="71" spans="1:11">
      <c r="A71" s="49">
        <f t="shared" si="7"/>
        <v>45</v>
      </c>
      <c r="B71" s="658"/>
      <c r="C71" s="659"/>
      <c r="D71" s="1050"/>
      <c r="E71" s="1019"/>
      <c r="F71" s="247"/>
      <c r="G71" s="29"/>
    </row>
    <row r="72" spans="1:11">
      <c r="B72" s="246"/>
      <c r="C72" s="248"/>
      <c r="D72" s="248"/>
      <c r="E72" s="29"/>
      <c r="F72" s="29"/>
      <c r="G72" s="29"/>
    </row>
    <row r="73" spans="1:11" ht="15.75">
      <c r="A73" s="49">
        <f>+A71+1</f>
        <v>46</v>
      </c>
      <c r="B73" s="29"/>
      <c r="C73" s="860" t="s">
        <v>629</v>
      </c>
      <c r="D73" s="247">
        <f>SUM(D66:D71)</f>
        <v>728353.97</v>
      </c>
      <c r="E73" s="247">
        <f>SUM(E66:E71)</f>
        <v>616407.45400000003</v>
      </c>
      <c r="F73" s="247">
        <f>SUM(F66:F71)</f>
        <v>111946.516</v>
      </c>
      <c r="G73" s="21"/>
    </row>
    <row r="74" spans="1:11">
      <c r="B74" s="72"/>
      <c r="C74"/>
      <c r="D74" s="244"/>
      <c r="E74"/>
      <c r="F74"/>
      <c r="G74"/>
    </row>
  </sheetData>
  <mergeCells count="6">
    <mergeCell ref="A3:G3"/>
    <mergeCell ref="A8:G8"/>
    <mergeCell ref="A7:F7"/>
    <mergeCell ref="A4:G4"/>
    <mergeCell ref="A5:G5"/>
    <mergeCell ref="A6:G6"/>
  </mergeCells>
  <phoneticPr fontId="0" type="noConversion"/>
  <pageMargins left="0.44" right="0.52" top="1" bottom="0.67" header="0.75" footer="0.4"/>
  <pageSetup scale="51" orientation="portrait"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O42"/>
  <sheetViews>
    <sheetView tabSelected="1" view="pageBreakPreview" zoomScaleNormal="100" zoomScaleSheetLayoutView="100" workbookViewId="0">
      <selection activeCell="D9" sqref="D9"/>
    </sheetView>
  </sheetViews>
  <sheetFormatPr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42578125" bestFit="1" customWidth="1"/>
  </cols>
  <sheetData>
    <row r="1" spans="1:15" ht="15.75">
      <c r="A1" s="693" t="s">
        <v>116</v>
      </c>
    </row>
    <row r="2" spans="1:15" ht="15.75">
      <c r="A2" s="693" t="s">
        <v>116</v>
      </c>
    </row>
    <row r="3" spans="1:15" ht="15">
      <c r="A3" s="1210" t="s">
        <v>389</v>
      </c>
      <c r="B3" s="1210"/>
      <c r="C3" s="1210"/>
      <c r="D3" s="1210"/>
      <c r="E3" s="1210"/>
      <c r="F3" s="1210"/>
      <c r="G3" s="1210"/>
      <c r="H3" s="1210"/>
    </row>
    <row r="4" spans="1:15" ht="15">
      <c r="A4" s="1211" t="str">
        <f>"Cost of Service Formula Rate Using Actual/Projected FF1 Balances"</f>
        <v>Cost of Service Formula Rate Using Actual/Projected FF1 Balances</v>
      </c>
      <c r="B4" s="1211"/>
      <c r="C4" s="1211"/>
      <c r="D4" s="1211"/>
      <c r="E4" s="1211"/>
      <c r="F4" s="1211"/>
      <c r="G4" s="1211"/>
      <c r="H4" s="1211"/>
    </row>
    <row r="5" spans="1:15" ht="15">
      <c r="A5" s="1211" t="s">
        <v>529</v>
      </c>
      <c r="B5" s="1211"/>
      <c r="C5" s="1211"/>
      <c r="D5" s="1211"/>
      <c r="E5" s="1211"/>
      <c r="F5" s="1211"/>
      <c r="G5" s="1211"/>
      <c r="H5" s="1211"/>
    </row>
    <row r="6" spans="1:15" ht="15">
      <c r="A6" s="1219" t="str">
        <f>TCOS!F9</f>
        <v>KENTUCKY POWER COMPANY</v>
      </c>
      <c r="B6" s="1219"/>
      <c r="C6" s="1219"/>
      <c r="D6" s="1219"/>
      <c r="E6" s="1219"/>
      <c r="F6" s="1219"/>
      <c r="G6" s="1219"/>
    </row>
    <row r="7" spans="1:15" ht="12.75" customHeight="1">
      <c r="A7" s="13"/>
      <c r="B7" s="15"/>
      <c r="C7" s="15"/>
      <c r="D7" s="15"/>
      <c r="E7" s="15"/>
      <c r="F7" s="15"/>
      <c r="G7" s="15"/>
      <c r="H7" s="15"/>
      <c r="I7" s="15"/>
      <c r="J7" s="15"/>
      <c r="O7" s="11"/>
    </row>
    <row r="8" spans="1:15" ht="12.75" customHeight="1">
      <c r="A8" s="13"/>
      <c r="B8" s="30"/>
      <c r="C8" s="2"/>
      <c r="D8" s="2"/>
      <c r="E8" s="2"/>
      <c r="F8" s="2"/>
    </row>
    <row r="9" spans="1:15" ht="18">
      <c r="A9" s="16"/>
      <c r="B9" s="957" t="s">
        <v>930</v>
      </c>
      <c r="C9" s="28"/>
      <c r="D9" s="31"/>
      <c r="E9" s="661">
        <v>0.05</v>
      </c>
      <c r="F9" s="2"/>
      <c r="G9" s="14"/>
      <c r="H9" s="14"/>
      <c r="L9" s="1"/>
    </row>
    <row r="10" spans="1:15" ht="15">
      <c r="A10" s="1"/>
      <c r="B10" s="2" t="s">
        <v>764</v>
      </c>
      <c r="C10" s="28"/>
      <c r="D10" s="28"/>
      <c r="E10" s="662">
        <v>0.98080000000000001</v>
      </c>
      <c r="F10" s="2"/>
      <c r="G10" s="14"/>
      <c r="H10" s="14"/>
      <c r="L10" s="1"/>
    </row>
    <row r="11" spans="1:15" ht="15">
      <c r="A11" s="1"/>
      <c r="B11" s="2" t="s">
        <v>450</v>
      </c>
      <c r="C11" s="28"/>
      <c r="D11" s="28"/>
      <c r="E11" s="254"/>
      <c r="F11" s="32">
        <f>ROUND(E9*E10,6)</f>
        <v>4.904E-2</v>
      </c>
      <c r="G11" s="14"/>
      <c r="L11" s="1"/>
    </row>
    <row r="12" spans="1:15" ht="15">
      <c r="A12" s="1"/>
      <c r="B12" s="2"/>
      <c r="C12" s="28"/>
      <c r="D12" s="28"/>
      <c r="E12" s="254"/>
      <c r="F12" s="32"/>
      <c r="G12" s="14"/>
      <c r="L12" s="1"/>
    </row>
    <row r="13" spans="1:15" ht="15">
      <c r="A13" s="1"/>
      <c r="B13" s="957" t="s">
        <v>929</v>
      </c>
      <c r="C13" s="28"/>
      <c r="D13" s="31"/>
      <c r="E13" s="661">
        <v>0.06</v>
      </c>
      <c r="F13" s="2"/>
      <c r="G13" s="14"/>
      <c r="L13" s="1"/>
    </row>
    <row r="14" spans="1:15" ht="15">
      <c r="A14" s="1"/>
      <c r="B14" s="2" t="s">
        <v>764</v>
      </c>
      <c r="C14" s="28"/>
      <c r="D14" s="28"/>
      <c r="E14" s="662">
        <v>1E-4</v>
      </c>
      <c r="F14" s="2"/>
      <c r="G14" s="14"/>
      <c r="L14" s="1"/>
    </row>
    <row r="15" spans="1:15" ht="15">
      <c r="A15" s="1"/>
      <c r="B15" s="2" t="s">
        <v>450</v>
      </c>
      <c r="C15" s="28"/>
      <c r="D15" s="28"/>
      <c r="E15" s="254"/>
      <c r="F15" s="32">
        <f>ROUND(E13*E14,6)</f>
        <v>6.0000000000000002E-6</v>
      </c>
      <c r="G15" s="14"/>
      <c r="L15" s="1"/>
    </row>
    <row r="16" spans="1:15" ht="15">
      <c r="A16" s="1"/>
      <c r="B16" s="2"/>
      <c r="C16" s="28"/>
      <c r="D16" s="28"/>
      <c r="E16" s="254"/>
      <c r="F16" s="32"/>
      <c r="G16" s="14"/>
      <c r="L16" s="1"/>
    </row>
    <row r="17" spans="1:12" ht="15">
      <c r="A17" s="1"/>
      <c r="B17" s="2" t="s">
        <v>889</v>
      </c>
      <c r="C17" s="28"/>
      <c r="D17" s="31"/>
      <c r="E17" s="661">
        <v>6.5000000000000002E-2</v>
      </c>
      <c r="F17" s="2"/>
      <c r="G17" s="14"/>
      <c r="L17" s="1"/>
    </row>
    <row r="18" spans="1:12" ht="15">
      <c r="A18" s="1"/>
      <c r="B18" s="2" t="s">
        <v>764</v>
      </c>
      <c r="C18" s="28"/>
      <c r="D18" s="28"/>
      <c r="E18" s="662">
        <v>1.1000000000000001E-3</v>
      </c>
      <c r="F18" s="2"/>
      <c r="G18" s="14"/>
      <c r="L18" s="1"/>
    </row>
    <row r="19" spans="1:12" ht="15">
      <c r="A19" s="1"/>
      <c r="B19" s="2" t="s">
        <v>450</v>
      </c>
      <c r="C19" s="28"/>
      <c r="D19" s="28"/>
      <c r="E19" s="254"/>
      <c r="F19" s="32">
        <f>ROUND(E17*E18,6)</f>
        <v>7.2000000000000002E-5</v>
      </c>
      <c r="G19" s="14"/>
      <c r="L19" s="1"/>
    </row>
    <row r="20" spans="1:12" ht="15">
      <c r="A20" s="1"/>
      <c r="B20" s="2"/>
      <c r="C20" s="28"/>
      <c r="D20" s="28"/>
      <c r="E20" s="254"/>
      <c r="F20" s="32"/>
      <c r="G20" s="14"/>
      <c r="L20" s="1"/>
    </row>
    <row r="21" spans="1:12" ht="15">
      <c r="A21" s="1"/>
      <c r="B21" s="2" t="s">
        <v>1369</v>
      </c>
      <c r="C21" s="28"/>
      <c r="D21" s="31"/>
      <c r="E21" s="661">
        <v>0.09</v>
      </c>
      <c r="F21" s="2"/>
      <c r="G21" s="14"/>
      <c r="L21" s="1"/>
    </row>
    <row r="22" spans="1:12" ht="15">
      <c r="A22" s="1"/>
      <c r="B22" s="2" t="s">
        <v>764</v>
      </c>
      <c r="C22" s="28"/>
      <c r="D22" s="28"/>
      <c r="E22" s="662">
        <v>0</v>
      </c>
      <c r="F22" s="2"/>
      <c r="G22" s="14"/>
      <c r="L22" s="1"/>
    </row>
    <row r="23" spans="1:12" ht="15">
      <c r="A23" s="1"/>
      <c r="B23" s="2" t="s">
        <v>450</v>
      </c>
      <c r="C23" s="28"/>
      <c r="D23" s="28"/>
      <c r="E23" s="254"/>
      <c r="F23" s="32">
        <f>ROUND(E21*E22,6)</f>
        <v>0</v>
      </c>
      <c r="G23" s="14"/>
      <c r="L23" s="1"/>
    </row>
    <row r="24" spans="1:12" ht="15">
      <c r="A24" s="1"/>
      <c r="B24" s="2"/>
      <c r="C24" s="28"/>
      <c r="D24" s="28"/>
      <c r="E24" s="254"/>
      <c r="F24" s="32"/>
      <c r="G24" s="14"/>
      <c r="L24" s="1"/>
    </row>
    <row r="25" spans="1:12" ht="15">
      <c r="A25" s="1"/>
      <c r="B25" s="957" t="s">
        <v>898</v>
      </c>
      <c r="C25" s="28"/>
      <c r="D25" s="31"/>
      <c r="E25" s="661">
        <v>9.5000000000000001E-2</v>
      </c>
      <c r="F25" s="2"/>
      <c r="G25" s="14"/>
      <c r="L25" s="1"/>
    </row>
    <row r="26" spans="1:12" ht="15">
      <c r="A26" s="1"/>
      <c r="B26" s="2" t="s">
        <v>764</v>
      </c>
      <c r="C26" s="28"/>
      <c r="D26" s="28"/>
      <c r="E26" s="662">
        <v>2.0999999999999999E-3</v>
      </c>
      <c r="F26" s="2"/>
      <c r="G26" s="14"/>
      <c r="L26" s="1"/>
    </row>
    <row r="27" spans="1:12" ht="15">
      <c r="A27" s="1"/>
      <c r="B27" s="2" t="s">
        <v>450</v>
      </c>
      <c r="C27" s="28"/>
      <c r="D27" s="28"/>
      <c r="E27" s="254"/>
      <c r="F27" s="32">
        <f>ROUND(E25*E26,6)</f>
        <v>2.0000000000000001E-4</v>
      </c>
      <c r="G27" s="14"/>
      <c r="L27" s="1"/>
    </row>
    <row r="28" spans="1:12" ht="15">
      <c r="A28" s="1"/>
      <c r="B28" s="2"/>
      <c r="C28" s="28"/>
      <c r="D28" s="28"/>
      <c r="E28" s="254"/>
      <c r="F28" s="32"/>
      <c r="G28" s="14"/>
      <c r="L28" s="1"/>
    </row>
    <row r="29" spans="1:12" ht="15">
      <c r="A29" s="1"/>
      <c r="B29" s="957"/>
      <c r="C29" s="28"/>
      <c r="D29" s="31"/>
      <c r="E29" s="1159"/>
      <c r="F29" s="2"/>
      <c r="G29" s="14"/>
      <c r="L29" s="1"/>
    </row>
    <row r="30" spans="1:12" ht="15">
      <c r="A30" s="1"/>
      <c r="B30" s="2"/>
      <c r="C30" s="28"/>
      <c r="D30" s="28"/>
      <c r="E30" s="1159"/>
      <c r="F30" s="2"/>
      <c r="G30" s="14"/>
      <c r="L30" s="1"/>
    </row>
    <row r="31" spans="1:12" ht="15">
      <c r="A31" s="1"/>
      <c r="B31" s="2"/>
      <c r="C31" s="28"/>
      <c r="D31" s="28"/>
      <c r="E31" s="2"/>
      <c r="F31" s="32"/>
      <c r="G31" s="14"/>
      <c r="L31" s="1"/>
    </row>
    <row r="32" spans="1:12">
      <c r="B32" s="4"/>
    </row>
    <row r="33" spans="1:12" ht="15">
      <c r="A33" s="1"/>
      <c r="B33" s="2"/>
      <c r="C33" s="28"/>
      <c r="D33" s="28"/>
      <c r="E33" s="28"/>
      <c r="F33" s="33"/>
      <c r="G33" s="14"/>
      <c r="L33" s="1"/>
    </row>
    <row r="34" spans="1:12" ht="15.75" thickBot="1">
      <c r="A34" s="1"/>
      <c r="B34" s="2" t="s">
        <v>205</v>
      </c>
      <c r="C34" s="2"/>
      <c r="D34" s="2"/>
      <c r="E34" s="2"/>
      <c r="F34" s="109">
        <f>SUM(F11:F31)</f>
        <v>4.9318000000000001E-2</v>
      </c>
      <c r="G34" s="14"/>
      <c r="L34" s="1"/>
    </row>
    <row r="35" spans="1:12" ht="13.5" thickTop="1">
      <c r="A35" s="1"/>
      <c r="L35" s="1"/>
    </row>
    <row r="36" spans="1:12">
      <c r="A36" s="1"/>
      <c r="L36" s="1"/>
    </row>
    <row r="37" spans="1:12">
      <c r="A37" s="1"/>
      <c r="L37" s="1"/>
    </row>
    <row r="38" spans="1:12" ht="12.75" customHeight="1">
      <c r="A38" s="1"/>
      <c r="C38" s="2"/>
      <c r="D38" s="2"/>
      <c r="E38" s="2"/>
      <c r="F38" s="2"/>
      <c r="L38" s="1"/>
    </row>
    <row r="39" spans="1:12" ht="21.75" customHeight="1">
      <c r="A39" s="2"/>
      <c r="B39" s="1243" t="s">
        <v>116</v>
      </c>
      <c r="C39" s="1243"/>
      <c r="D39" s="1243"/>
      <c r="E39" s="1243"/>
      <c r="F39" s="1243"/>
      <c r="G39" s="1243"/>
      <c r="I39" s="13"/>
    </row>
    <row r="40" spans="1:12" ht="12.75" customHeight="1">
      <c r="B40" s="1243"/>
      <c r="C40" s="1243"/>
      <c r="D40" s="1243"/>
      <c r="E40" s="1243"/>
      <c r="F40" s="1243"/>
      <c r="G40" s="1243"/>
    </row>
    <row r="41" spans="1:12" ht="17.25" customHeight="1">
      <c r="B41" s="1243"/>
      <c r="C41" s="1243"/>
      <c r="D41" s="1243"/>
      <c r="E41" s="1243"/>
      <c r="F41" s="1243"/>
      <c r="G41" s="1243"/>
    </row>
    <row r="42" spans="1:12" ht="18" customHeight="1">
      <c r="A42" s="4" t="s">
        <v>501</v>
      </c>
      <c r="B42" s="4" t="s">
        <v>76</v>
      </c>
      <c r="C42" s="4"/>
      <c r="D42" s="4"/>
      <c r="E42" s="4"/>
      <c r="F42" s="4"/>
      <c r="G42" s="4"/>
    </row>
  </sheetData>
  <mergeCells count="5">
    <mergeCell ref="B39:G41"/>
    <mergeCell ref="A6:G6"/>
    <mergeCell ref="A3:H3"/>
    <mergeCell ref="A4:H4"/>
    <mergeCell ref="A5:H5"/>
  </mergeCells>
  <phoneticPr fontId="0" type="noConversion"/>
  <pageMargins left="0.26" right="1.28" top="1" bottom="1" header="0.75" footer="0.5"/>
  <pageSetup scale="89"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AC82"/>
  <sheetViews>
    <sheetView tabSelected="1" view="pageBreakPreview" topLeftCell="A29" zoomScale="60" zoomScaleNormal="55" workbookViewId="0">
      <selection activeCell="D9" sqref="D9"/>
    </sheetView>
  </sheetViews>
  <sheetFormatPr defaultColWidth="9.140625" defaultRowHeight="15"/>
  <cols>
    <col min="1" max="1" width="7.42578125" style="99" customWidth="1"/>
    <col min="2" max="2" width="1.5703125" style="88" customWidth="1"/>
    <col min="3" max="3" width="62.42578125" style="88" customWidth="1"/>
    <col min="4" max="4" width="19.140625" style="88" customWidth="1"/>
    <col min="5" max="5" width="22.5703125" style="95" bestFit="1" customWidth="1"/>
    <col min="6" max="6" width="1.5703125" style="88" customWidth="1"/>
    <col min="7" max="7" width="21.85546875" style="88" customWidth="1"/>
    <col min="8" max="8" width="1.5703125" style="88" customWidth="1"/>
    <col min="9" max="9" width="21.42578125" style="88" customWidth="1"/>
    <col min="10" max="10" width="1.5703125" style="88" customWidth="1"/>
    <col min="11" max="11" width="19.42578125" style="88" bestFit="1" customWidth="1"/>
    <col min="12" max="12" width="3.42578125" style="88" customWidth="1"/>
    <col min="13" max="13" width="22.5703125" style="88" customWidth="1"/>
    <col min="14" max="14" width="1.42578125" style="88" customWidth="1"/>
    <col min="15" max="15" width="22.140625" style="187" customWidth="1"/>
    <col min="16" max="16384" width="9.140625" style="88"/>
  </cols>
  <sheetData>
    <row r="1" spans="1:29" ht="15.75">
      <c r="A1" s="693" t="s">
        <v>116</v>
      </c>
    </row>
    <row r="2" spans="1:29" ht="15.75">
      <c r="A2" s="693" t="s">
        <v>116</v>
      </c>
    </row>
    <row r="3" spans="1:29" ht="18.75" customHeight="1">
      <c r="A3" s="1210" t="s">
        <v>389</v>
      </c>
      <c r="B3" s="1210"/>
      <c r="C3" s="1210"/>
      <c r="D3" s="1210"/>
      <c r="E3" s="1210"/>
      <c r="F3" s="1210"/>
      <c r="G3" s="1210"/>
      <c r="H3" s="1210"/>
      <c r="I3" s="1210"/>
      <c r="J3" s="1210"/>
      <c r="K3" s="1210"/>
      <c r="L3" s="1210"/>
      <c r="M3" s="1210"/>
    </row>
    <row r="4" spans="1:29" ht="18.75" customHeight="1">
      <c r="A4" s="1211" t="str">
        <f>"Cost of Service Formula Rate Using Actual/Projected FF1 Balances"</f>
        <v>Cost of Service Formula Rate Using Actual/Projected FF1 Balances</v>
      </c>
      <c r="B4" s="1211"/>
      <c r="C4" s="1211"/>
      <c r="D4" s="1211"/>
      <c r="E4" s="1211"/>
      <c r="F4" s="1211"/>
      <c r="G4" s="1211"/>
      <c r="H4" s="1211"/>
      <c r="I4" s="1211"/>
      <c r="J4" s="1211"/>
      <c r="K4" s="1211"/>
      <c r="L4" s="1211"/>
      <c r="M4" s="1211"/>
    </row>
    <row r="5" spans="1:29" ht="18.75" customHeight="1">
      <c r="A5" s="1211" t="s">
        <v>240</v>
      </c>
      <c r="B5" s="1211"/>
      <c r="C5" s="1211"/>
      <c r="D5" s="1211"/>
      <c r="E5" s="1211"/>
      <c r="F5" s="1211"/>
      <c r="G5" s="1211"/>
      <c r="H5" s="1211"/>
      <c r="I5" s="1211"/>
      <c r="J5" s="1211"/>
      <c r="K5" s="1211"/>
      <c r="L5" s="1211"/>
      <c r="M5" s="1211"/>
    </row>
    <row r="6" spans="1:29" ht="18.75" customHeight="1">
      <c r="A6" s="1212" t="str">
        <f>+TCOS!F9</f>
        <v>KENTUCKY POWER COMPANY</v>
      </c>
      <c r="B6" s="1212"/>
      <c r="C6" s="1212"/>
      <c r="D6" s="1212"/>
      <c r="E6" s="1212"/>
      <c r="F6" s="1212"/>
      <c r="G6" s="1212"/>
      <c r="H6" s="1212"/>
      <c r="I6" s="1212"/>
      <c r="J6" s="1212"/>
      <c r="K6" s="1212"/>
      <c r="L6" s="1212"/>
      <c r="M6" s="1212"/>
    </row>
    <row r="7" spans="1:29" ht="18" customHeight="1">
      <c r="A7" s="1219"/>
      <c r="B7" s="1219"/>
      <c r="C7" s="1219"/>
      <c r="D7" s="1219"/>
      <c r="E7" s="1219"/>
      <c r="F7" s="1219"/>
      <c r="G7" s="1219"/>
      <c r="H7" s="1219"/>
      <c r="I7" s="1219"/>
      <c r="J7" s="1219"/>
      <c r="K7" s="1219"/>
      <c r="L7" s="1219"/>
      <c r="M7" s="1219"/>
    </row>
    <row r="8" spans="1:29" ht="18" customHeight="1">
      <c r="A8" s="1241"/>
      <c r="B8" s="1241"/>
      <c r="C8" s="1241"/>
      <c r="D8" s="1241"/>
      <c r="E8" s="1241"/>
      <c r="F8" s="1241"/>
      <c r="G8" s="1241"/>
      <c r="H8" s="1241"/>
      <c r="I8" s="1241"/>
      <c r="J8" s="1241"/>
      <c r="K8" s="1241"/>
      <c r="L8" s="1241"/>
      <c r="M8" s="1241"/>
    </row>
    <row r="9" spans="1:29" ht="18" customHeight="1">
      <c r="A9" s="132"/>
      <c r="B9" s="132"/>
      <c r="C9" s="132"/>
      <c r="D9" s="132"/>
      <c r="E9" s="132"/>
      <c r="F9" s="132"/>
      <c r="G9" s="132"/>
      <c r="H9" s="132"/>
      <c r="I9" s="132"/>
      <c r="J9" s="132"/>
      <c r="K9" s="132"/>
      <c r="L9" s="132"/>
      <c r="M9" s="132"/>
    </row>
    <row r="10" spans="1:29" ht="19.5" customHeight="1">
      <c r="A10" s="90"/>
      <c r="B10" s="89"/>
      <c r="C10" s="27" t="s">
        <v>164</v>
      </c>
      <c r="E10" s="27" t="s">
        <v>165</v>
      </c>
      <c r="G10" s="27" t="s">
        <v>166</v>
      </c>
      <c r="I10" s="27" t="s">
        <v>167</v>
      </c>
      <c r="K10" s="27" t="s">
        <v>85</v>
      </c>
      <c r="M10" s="27" t="s">
        <v>86</v>
      </c>
    </row>
    <row r="11" spans="1:29" ht="18">
      <c r="A11" s="167"/>
      <c r="B11" s="168"/>
      <c r="C11" s="168"/>
      <c r="D11" s="168"/>
      <c r="E11"/>
      <c r="F11"/>
      <c r="G11"/>
      <c r="H11"/>
      <c r="I11"/>
      <c r="J11"/>
      <c r="K11"/>
      <c r="L11"/>
      <c r="M11"/>
      <c r="Q11" s="30"/>
      <c r="R11" s="30"/>
      <c r="S11" s="30"/>
      <c r="T11" s="30"/>
      <c r="U11" s="30"/>
      <c r="V11" s="30"/>
      <c r="W11" s="30"/>
      <c r="X11" s="30"/>
      <c r="Y11" s="30"/>
      <c r="Z11" s="30"/>
      <c r="AA11" s="30"/>
      <c r="AB11" s="30"/>
      <c r="AC11" s="30"/>
    </row>
    <row r="12" spans="1:29" ht="19.5">
      <c r="A12" s="167" t="s">
        <v>171</v>
      </c>
      <c r="B12" s="168"/>
      <c r="C12" s="168"/>
      <c r="D12" s="168"/>
      <c r="E12" s="169" t="s">
        <v>120</v>
      </c>
      <c r="F12" s="167"/>
      <c r="G12" s="167"/>
      <c r="H12" s="167"/>
      <c r="I12" s="167"/>
      <c r="J12" s="167"/>
      <c r="K12" s="94"/>
      <c r="L12" s="94"/>
      <c r="M12" s="170"/>
    </row>
    <row r="13" spans="1:29" ht="19.5">
      <c r="A13" s="171" t="s">
        <v>119</v>
      </c>
      <c r="B13" s="168"/>
      <c r="C13" s="171" t="s">
        <v>308</v>
      </c>
      <c r="D13" s="168"/>
      <c r="E13" s="172" t="s">
        <v>185</v>
      </c>
      <c r="F13" s="167"/>
      <c r="G13" s="171" t="s">
        <v>311</v>
      </c>
      <c r="H13" s="167"/>
      <c r="I13" s="171" t="s">
        <v>163</v>
      </c>
      <c r="J13" s="167"/>
      <c r="K13" s="173" t="s">
        <v>183</v>
      </c>
      <c r="L13" s="174"/>
      <c r="M13" s="173" t="s">
        <v>312</v>
      </c>
    </row>
    <row r="14" spans="1:29" ht="19.5">
      <c r="A14" s="90"/>
      <c r="B14" s="89"/>
      <c r="C14" s="87"/>
      <c r="D14" s="87"/>
      <c r="E14" s="87" t="s">
        <v>69</v>
      </c>
      <c r="F14" s="87"/>
      <c r="G14" s="87"/>
      <c r="H14" s="87"/>
      <c r="I14" s="87"/>
      <c r="J14" s="87"/>
      <c r="K14" s="86"/>
      <c r="L14" s="86"/>
    </row>
    <row r="15" spans="1:29" ht="19.5">
      <c r="A15" s="90"/>
      <c r="B15" s="89"/>
      <c r="C15" s="89"/>
      <c r="D15" s="89"/>
      <c r="E15" s="91"/>
      <c r="F15" s="89"/>
      <c r="G15" s="89"/>
      <c r="H15" s="89"/>
      <c r="I15" s="85"/>
      <c r="J15" s="89"/>
      <c r="K15" s="86"/>
      <c r="L15" s="86"/>
    </row>
    <row r="16" spans="1:29" ht="19.5">
      <c r="A16" s="90">
        <v>1</v>
      </c>
      <c r="B16" s="89"/>
      <c r="C16" s="92" t="s">
        <v>325</v>
      </c>
      <c r="D16" s="89"/>
      <c r="E16" s="86"/>
      <c r="F16" s="86"/>
      <c r="G16" s="93"/>
      <c r="H16" s="93"/>
      <c r="I16" s="93"/>
      <c r="J16" s="93"/>
      <c r="K16" s="93"/>
      <c r="L16" s="93"/>
      <c r="M16" s="93"/>
    </row>
    <row r="17" spans="1:15" ht="19.5">
      <c r="A17" s="90">
        <f>+A16+1</f>
        <v>2</v>
      </c>
      <c r="B17" s="89"/>
      <c r="C17" s="86" t="s">
        <v>309</v>
      </c>
      <c r="D17" s="89"/>
      <c r="E17" s="93">
        <f>'WS H-1-Detail of Tax Amts'!E15</f>
        <v>18624</v>
      </c>
      <c r="F17" s="86"/>
      <c r="G17" s="93"/>
      <c r="H17" s="93"/>
      <c r="I17" s="93"/>
      <c r="J17" s="93"/>
      <c r="K17" s="93"/>
      <c r="L17" s="93"/>
      <c r="M17" s="93">
        <f>+E17</f>
        <v>18624</v>
      </c>
    </row>
    <row r="18" spans="1:15" ht="19.5">
      <c r="A18" s="90"/>
      <c r="B18" s="89"/>
      <c r="C18" s="94"/>
      <c r="D18" s="89"/>
      <c r="E18" s="86"/>
      <c r="F18" s="86"/>
      <c r="G18" s="93"/>
      <c r="H18" s="93"/>
      <c r="I18" s="93"/>
      <c r="J18" s="93"/>
      <c r="K18" s="93"/>
      <c r="L18" s="93"/>
      <c r="M18" s="93"/>
    </row>
    <row r="19" spans="1:15" ht="18">
      <c r="A19" s="831">
        <f>+A17+1</f>
        <v>3</v>
      </c>
      <c r="B19" s="832"/>
      <c r="C19" s="833" t="s">
        <v>326</v>
      </c>
      <c r="D19" s="832"/>
      <c r="E19" s="832"/>
      <c r="F19" s="832"/>
      <c r="G19" s="834"/>
      <c r="H19" s="830"/>
      <c r="I19" s="830"/>
      <c r="J19" s="830"/>
      <c r="K19" s="830"/>
      <c r="L19" s="830"/>
      <c r="M19" s="830"/>
    </row>
    <row r="20" spans="1:15" ht="18">
      <c r="A20" s="831">
        <f>+A19+1</f>
        <v>4</v>
      </c>
      <c r="B20" s="832"/>
      <c r="C20" s="832" t="s">
        <v>901</v>
      </c>
      <c r="D20" s="832"/>
      <c r="E20" s="834">
        <f>'WS H-1-Detail of Tax Amts'!E29</f>
        <v>14640256.84</v>
      </c>
      <c r="F20" s="832"/>
      <c r="G20" s="834">
        <f>+E20</f>
        <v>14640256.84</v>
      </c>
      <c r="H20" s="830"/>
      <c r="I20" s="830"/>
      <c r="J20" s="830"/>
      <c r="K20" s="830"/>
      <c r="L20" s="830"/>
      <c r="M20" s="830"/>
      <c r="O20"/>
    </row>
    <row r="21" spans="1:15" ht="18">
      <c r="A21" s="831">
        <f>+A20+1</f>
        <v>5</v>
      </c>
      <c r="B21" s="832"/>
      <c r="C21" s="832" t="s">
        <v>602</v>
      </c>
      <c r="D21" s="832"/>
      <c r="E21" s="834">
        <f>'WS H-1-Detail of Tax Amts'!E39</f>
        <v>3344114.8</v>
      </c>
      <c r="F21" s="832"/>
      <c r="G21" s="834">
        <f>+E21</f>
        <v>3344114.8</v>
      </c>
      <c r="H21" s="830"/>
      <c r="I21" s="830"/>
      <c r="J21" s="830"/>
      <c r="K21" s="830"/>
      <c r="L21" s="830"/>
      <c r="M21" s="830"/>
      <c r="O21"/>
    </row>
    <row r="22" spans="1:15" ht="18">
      <c r="A22" s="831">
        <f>+A21+1</f>
        <v>6</v>
      </c>
      <c r="B22" s="832"/>
      <c r="C22" s="832" t="s">
        <v>599</v>
      </c>
      <c r="D22" s="834"/>
      <c r="E22" s="834">
        <f>'WS H-1-Detail of Tax Amts'!E50</f>
        <v>0</v>
      </c>
      <c r="F22" s="832"/>
      <c r="G22" s="834">
        <f>+E22</f>
        <v>0</v>
      </c>
      <c r="H22" s="830"/>
      <c r="I22" s="830"/>
      <c r="J22" s="830"/>
      <c r="K22" s="830"/>
      <c r="L22" s="830"/>
      <c r="M22" s="830"/>
      <c r="O22"/>
    </row>
    <row r="23" spans="1:15" ht="18">
      <c r="A23" s="831">
        <f>+A22+1</f>
        <v>7</v>
      </c>
      <c r="B23" s="832"/>
      <c r="C23" s="832" t="s">
        <v>465</v>
      </c>
      <c r="D23" s="834"/>
      <c r="E23" s="834">
        <f>'WS H-1-Detail of Tax Amts'!E56</f>
        <v>0</v>
      </c>
      <c r="F23" s="832"/>
      <c r="G23" s="834">
        <f>E23</f>
        <v>0</v>
      </c>
      <c r="H23" s="830"/>
      <c r="I23" s="830"/>
      <c r="J23" s="830"/>
      <c r="K23" s="830"/>
      <c r="L23" s="830"/>
      <c r="M23" s="830"/>
      <c r="O23"/>
    </row>
    <row r="24" spans="1:15" ht="19.5">
      <c r="A24" s="90"/>
      <c r="B24" s="89"/>
      <c r="C24" s="94"/>
      <c r="D24" s="89"/>
      <c r="E24" s="86"/>
      <c r="F24" s="86"/>
      <c r="G24" s="93"/>
      <c r="H24" s="93"/>
      <c r="I24" s="93"/>
      <c r="J24" s="93"/>
      <c r="K24" s="93"/>
      <c r="L24" s="93"/>
      <c r="M24" s="93"/>
      <c r="O24" s="188"/>
    </row>
    <row r="25" spans="1:15" ht="19.5">
      <c r="A25" s="90">
        <f>+A23+1</f>
        <v>8</v>
      </c>
      <c r="B25" s="89"/>
      <c r="C25" s="92" t="s">
        <v>327</v>
      </c>
      <c r="D25" s="89"/>
      <c r="E25" s="86"/>
      <c r="F25" s="86"/>
      <c r="G25" s="93"/>
      <c r="H25" s="93"/>
      <c r="I25" s="93"/>
      <c r="J25" s="93"/>
      <c r="K25" s="93"/>
      <c r="L25" s="93"/>
      <c r="M25" s="93"/>
      <c r="O25" s="188"/>
    </row>
    <row r="26" spans="1:15" ht="19.5">
      <c r="A26" s="90">
        <f>+A25+1</f>
        <v>9</v>
      </c>
      <c r="B26" s="89"/>
      <c r="C26" s="89" t="s">
        <v>323</v>
      </c>
      <c r="D26" s="89"/>
      <c r="E26" s="93">
        <f>'WS H-1-Detail of Tax Amts'!E67</f>
        <v>2034430.89</v>
      </c>
      <c r="F26" s="86"/>
      <c r="G26" s="93"/>
      <c r="H26" s="93"/>
      <c r="I26" s="93">
        <f>+E26</f>
        <v>2034430.89</v>
      </c>
      <c r="J26" s="93"/>
      <c r="K26" s="93"/>
      <c r="L26" s="93"/>
      <c r="M26" s="93"/>
      <c r="O26" s="188"/>
    </row>
    <row r="27" spans="1:15" ht="19.5">
      <c r="A27" s="90">
        <f>+A26+1</f>
        <v>10</v>
      </c>
      <c r="B27" s="89"/>
      <c r="C27" s="89" t="s">
        <v>316</v>
      </c>
      <c r="D27" s="89"/>
      <c r="E27" s="93">
        <f>'WS H-1-Detail of Tax Amts'!E70</f>
        <v>8851</v>
      </c>
      <c r="F27" s="86"/>
      <c r="G27" s="86"/>
      <c r="H27" s="86"/>
      <c r="I27" s="93">
        <f>+E27</f>
        <v>8851</v>
      </c>
      <c r="J27" s="89"/>
      <c r="K27" s="86"/>
      <c r="L27" s="86"/>
      <c r="M27" s="93"/>
    </row>
    <row r="28" spans="1:15" ht="19.5">
      <c r="A28" s="90">
        <f>+A27+1</f>
        <v>11</v>
      </c>
      <c r="B28" s="89"/>
      <c r="C28" s="89" t="s">
        <v>317</v>
      </c>
      <c r="D28" s="89"/>
      <c r="E28" s="93">
        <f>'WS H-1-Detail of Tax Amts'!E72</f>
        <v>15601</v>
      </c>
      <c r="F28" s="86"/>
      <c r="G28" s="86"/>
      <c r="H28" s="86"/>
      <c r="I28" s="93">
        <f>+E28</f>
        <v>15601</v>
      </c>
      <c r="J28" s="91"/>
      <c r="K28" s="86"/>
      <c r="L28" s="86"/>
      <c r="M28" s="93"/>
    </row>
    <row r="29" spans="1:15" ht="19.5">
      <c r="A29" s="90" t="s">
        <v>116</v>
      </c>
      <c r="B29" s="89"/>
      <c r="C29" s="86"/>
      <c r="D29" s="89"/>
      <c r="E29" s="86"/>
      <c r="F29" s="86"/>
      <c r="G29" s="86"/>
      <c r="H29" s="86"/>
      <c r="I29" s="101"/>
      <c r="J29" s="102"/>
      <c r="K29" s="105"/>
      <c r="L29" s="105"/>
      <c r="M29" s="93"/>
    </row>
    <row r="30" spans="1:15" ht="19.5">
      <c r="A30" s="90">
        <f>A28+1</f>
        <v>12</v>
      </c>
      <c r="B30" s="89"/>
      <c r="C30" s="92" t="s">
        <v>442</v>
      </c>
      <c r="D30" s="89"/>
      <c r="E30" s="86"/>
      <c r="F30" s="86"/>
      <c r="G30" s="86"/>
      <c r="H30" s="86"/>
      <c r="I30" s="101"/>
      <c r="J30" s="102"/>
      <c r="K30" s="105"/>
      <c r="L30" s="105"/>
      <c r="M30" s="93"/>
    </row>
    <row r="31" spans="1:15" ht="19.5">
      <c r="A31" s="90">
        <f>A30+1</f>
        <v>13</v>
      </c>
      <c r="B31" s="89"/>
      <c r="C31" s="86" t="s">
        <v>443</v>
      </c>
      <c r="D31" s="190"/>
      <c r="E31" s="93">
        <f>'WS H-1-Detail of Tax Amts'!E79</f>
        <v>0</v>
      </c>
      <c r="F31" s="86"/>
      <c r="G31" s="86"/>
      <c r="H31" s="86"/>
      <c r="I31" s="101"/>
      <c r="J31" s="102"/>
      <c r="K31" s="105"/>
      <c r="L31" s="105"/>
      <c r="M31" s="93">
        <f>E31</f>
        <v>0</v>
      </c>
    </row>
    <row r="32" spans="1:15" ht="19.5">
      <c r="A32" s="90"/>
      <c r="B32" s="89"/>
      <c r="C32" s="86"/>
      <c r="D32" s="89"/>
      <c r="E32" s="86"/>
      <c r="F32" s="86"/>
      <c r="G32" s="86"/>
      <c r="H32" s="86"/>
      <c r="I32" s="101"/>
      <c r="J32" s="102"/>
      <c r="K32" s="105"/>
      <c r="L32" s="105"/>
      <c r="M32" s="93"/>
    </row>
    <row r="33" spans="1:13" ht="19.5">
      <c r="A33" s="96">
        <f>+A31+1</f>
        <v>14</v>
      </c>
      <c r="B33" s="97"/>
      <c r="C33" s="92" t="s">
        <v>324</v>
      </c>
      <c r="D33" s="98"/>
      <c r="E33" s="86"/>
      <c r="F33" s="86"/>
      <c r="G33" s="93"/>
      <c r="H33" s="93"/>
      <c r="I33" s="93"/>
      <c r="J33" s="93"/>
      <c r="K33" s="93"/>
      <c r="L33" s="93"/>
      <c r="M33" s="93"/>
    </row>
    <row r="34" spans="1:13" ht="19.5">
      <c r="A34" s="96">
        <f>A33+1</f>
        <v>15</v>
      </c>
      <c r="B34" s="97"/>
      <c r="C34" s="86" t="s">
        <v>441</v>
      </c>
      <c r="D34" s="98"/>
      <c r="E34" s="93">
        <f>'WS H-1-Detail of Tax Amts'!E83</f>
        <v>5286299</v>
      </c>
      <c r="F34" s="86"/>
      <c r="G34" s="93"/>
      <c r="H34" s="93"/>
      <c r="I34" s="93"/>
      <c r="J34" s="93"/>
      <c r="K34" s="93"/>
      <c r="L34" s="93"/>
      <c r="M34" s="93">
        <f>E34</f>
        <v>5286299</v>
      </c>
    </row>
    <row r="35" spans="1:13" ht="19.5">
      <c r="A35" s="90">
        <f>A34+1</f>
        <v>16</v>
      </c>
      <c r="B35" s="89"/>
      <c r="C35" s="86" t="s">
        <v>318</v>
      </c>
      <c r="D35" s="89"/>
      <c r="E35" s="93">
        <f>'WS H-1-Detail of Tax Amts'!E87</f>
        <v>0</v>
      </c>
      <c r="F35" s="86"/>
      <c r="G35" s="93"/>
      <c r="H35" s="93"/>
      <c r="I35" s="93"/>
      <c r="J35" s="93"/>
      <c r="K35" s="93">
        <f>+E35</f>
        <v>0</v>
      </c>
      <c r="L35" s="93"/>
      <c r="M35" s="93"/>
    </row>
    <row r="36" spans="1:13" ht="19.5">
      <c r="A36" s="90">
        <f t="shared" ref="A36:A42" si="0">+A35+1</f>
        <v>17</v>
      </c>
      <c r="B36" s="89"/>
      <c r="C36" s="86" t="s">
        <v>319</v>
      </c>
      <c r="D36"/>
      <c r="E36" s="93">
        <f>'WS H-1-Detail of Tax Amts'!E91</f>
        <v>0</v>
      </c>
      <c r="F36" s="86"/>
      <c r="G36" s="93"/>
      <c r="H36" s="93"/>
      <c r="I36" s="93"/>
      <c r="J36" s="93"/>
      <c r="K36" s="93">
        <f>+E36</f>
        <v>0</v>
      </c>
      <c r="L36" s="93"/>
      <c r="M36" s="93"/>
    </row>
    <row r="37" spans="1:13" ht="19.5">
      <c r="A37" s="90">
        <f>+A36+1</f>
        <v>18</v>
      </c>
      <c r="B37" s="89"/>
      <c r="C37" s="86" t="s">
        <v>320</v>
      </c>
      <c r="D37"/>
      <c r="E37" s="93">
        <f>'WS H-1-Detail of Tax Amts'!E101</f>
        <v>0</v>
      </c>
      <c r="F37" s="86"/>
      <c r="G37" s="93"/>
      <c r="H37" s="93"/>
      <c r="I37" s="93"/>
      <c r="J37" s="93"/>
      <c r="K37" s="93">
        <f>+E37</f>
        <v>0</v>
      </c>
      <c r="L37" s="93"/>
      <c r="M37" s="93"/>
    </row>
    <row r="38" spans="1:13" ht="19.5">
      <c r="A38" s="90">
        <f t="shared" si="0"/>
        <v>19</v>
      </c>
      <c r="B38" s="89"/>
      <c r="C38" s="86" t="s">
        <v>321</v>
      </c>
      <c r="D38" s="89"/>
      <c r="E38" s="93">
        <f>'WS H-1-Detail of Tax Amts'!E108</f>
        <v>0</v>
      </c>
      <c r="F38" s="86"/>
      <c r="G38" s="93"/>
      <c r="H38" s="93"/>
      <c r="I38" s="93"/>
      <c r="J38" s="93"/>
      <c r="K38" s="93">
        <f>+E38</f>
        <v>0</v>
      </c>
      <c r="L38" s="93"/>
      <c r="M38" s="93"/>
    </row>
    <row r="39" spans="1:13" ht="19.5">
      <c r="A39" s="90">
        <f t="shared" si="0"/>
        <v>20</v>
      </c>
      <c r="B39" s="89"/>
      <c r="C39" s="86" t="s">
        <v>322</v>
      </c>
      <c r="D39" s="89"/>
      <c r="E39" s="93">
        <f>'WS H-1-Detail of Tax Amts'!E116</f>
        <v>55221</v>
      </c>
      <c r="F39" s="86"/>
      <c r="G39" s="93"/>
      <c r="H39" s="93"/>
      <c r="I39" s="93"/>
      <c r="J39" s="93"/>
      <c r="K39" s="93"/>
      <c r="L39" s="93"/>
      <c r="M39" s="93">
        <f>+E39</f>
        <v>55221</v>
      </c>
    </row>
    <row r="40" spans="1:13" ht="19.5">
      <c r="A40" s="90">
        <f t="shared" si="0"/>
        <v>21</v>
      </c>
      <c r="B40" s="86"/>
      <c r="C40" s="86" t="s">
        <v>310</v>
      </c>
      <c r="D40" s="86"/>
      <c r="E40" s="93">
        <f>'WS H-1-Detail of Tax Amts'!E122</f>
        <v>11049</v>
      </c>
      <c r="F40" s="86"/>
      <c r="G40" s="93"/>
      <c r="H40" s="93"/>
      <c r="I40" s="93"/>
      <c r="J40" s="93"/>
      <c r="K40" s="93"/>
      <c r="L40" s="93"/>
      <c r="M40" s="93">
        <f>+E40</f>
        <v>11049</v>
      </c>
    </row>
    <row r="41" spans="1:13" ht="19.5">
      <c r="A41" s="90">
        <f t="shared" si="0"/>
        <v>22</v>
      </c>
      <c r="B41" s="86"/>
      <c r="C41" s="108" t="s">
        <v>108</v>
      </c>
      <c r="D41" s="86"/>
      <c r="E41" s="93">
        <f>'WS H-1-Detail of Tax Amts'!E125</f>
        <v>0</v>
      </c>
      <c r="F41" s="86"/>
      <c r="G41" s="93"/>
      <c r="H41" s="93"/>
      <c r="I41" s="93"/>
      <c r="J41" s="93"/>
      <c r="K41" s="93"/>
      <c r="L41" s="93"/>
      <c r="M41" s="93">
        <f>+E41</f>
        <v>0</v>
      </c>
    </row>
    <row r="42" spans="1:13" ht="19.5">
      <c r="A42" s="90">
        <f t="shared" si="0"/>
        <v>23</v>
      </c>
      <c r="B42" s="86"/>
      <c r="C42" s="108"/>
      <c r="D42" s="86"/>
      <c r="E42" s="93"/>
      <c r="F42" s="86"/>
      <c r="G42" s="93"/>
      <c r="H42" s="93"/>
      <c r="I42" s="93"/>
      <c r="J42" s="93"/>
      <c r="K42" s="93"/>
      <c r="L42" s="93"/>
      <c r="M42" s="93"/>
    </row>
    <row r="43" spans="1:13" ht="20.25" thickBot="1">
      <c r="A43" s="90">
        <f>A42+1</f>
        <v>24</v>
      </c>
      <c r="B43" s="72"/>
      <c r="C43" s="86" t="s">
        <v>313</v>
      </c>
      <c r="D43"/>
      <c r="E43" s="107">
        <f>SUM(E17:E41)</f>
        <v>25414447.530000001</v>
      </c>
      <c r="F43" s="86"/>
      <c r="G43" s="107">
        <f>SUM(G17:G41)</f>
        <v>17984371.640000001</v>
      </c>
      <c r="H43" s="100"/>
      <c r="I43" s="107">
        <f>SUM(I17:I41)</f>
        <v>2058882.89</v>
      </c>
      <c r="J43" s="103"/>
      <c r="K43" s="107">
        <f>SUM(K17:K41)</f>
        <v>0</v>
      </c>
      <c r="L43" s="106"/>
      <c r="M43" s="107">
        <f>SUM(M17:M41)</f>
        <v>5371193</v>
      </c>
    </row>
    <row r="44" spans="1:13" ht="20.25" thickTop="1">
      <c r="A44" s="4"/>
      <c r="B44" s="72"/>
      <c r="C44" s="86" t="s">
        <v>383</v>
      </c>
      <c r="D44"/>
      <c r="E44"/>
      <c r="F44" s="86"/>
      <c r="G44" s="100"/>
      <c r="H44" s="100"/>
      <c r="I44" s="103"/>
      <c r="J44" s="104"/>
      <c r="K44" s="106"/>
      <c r="L44" s="106"/>
      <c r="M44" s="106"/>
    </row>
    <row r="45" spans="1:13" ht="19.5">
      <c r="A45" s="4"/>
      <c r="B45" s="72"/>
      <c r="C45" s="86" t="s">
        <v>80</v>
      </c>
      <c r="D45"/>
      <c r="E45"/>
      <c r="F45" s="86"/>
      <c r="G45" s="100"/>
      <c r="H45" s="100"/>
      <c r="I45" s="103"/>
      <c r="J45" s="104"/>
      <c r="K45" s="106"/>
      <c r="L45" s="106"/>
      <c r="M45" s="106"/>
    </row>
    <row r="46" spans="1:13" ht="19.5">
      <c r="A46" s="4"/>
      <c r="B46" s="72"/>
      <c r="C46" s="1244" t="s">
        <v>464</v>
      </c>
      <c r="D46" s="1244"/>
      <c r="E46" s="1244"/>
      <c r="F46" s="1244"/>
      <c r="G46" s="1244"/>
      <c r="H46" s="1244"/>
      <c r="I46" s="1244"/>
      <c r="J46" s="1244"/>
      <c r="K46" s="1244"/>
      <c r="L46" s="1244"/>
      <c r="M46" s="1244"/>
    </row>
    <row r="47" spans="1:13" ht="19.5">
      <c r="A47" s="90"/>
      <c r="C47" s="86"/>
      <c r="D47" s="86"/>
      <c r="E47" s="110" t="s">
        <v>231</v>
      </c>
      <c r="G47" s="110" t="s">
        <v>335</v>
      </c>
      <c r="H47" s="110"/>
      <c r="I47" s="110" t="s">
        <v>440</v>
      </c>
      <c r="J47" s="110"/>
      <c r="K47" s="110" t="s">
        <v>336</v>
      </c>
      <c r="L47" s="110"/>
      <c r="M47" s="110" t="s">
        <v>120</v>
      </c>
    </row>
    <row r="48" spans="1:13" ht="19.5">
      <c r="A48" s="90">
        <f>+A43+1</f>
        <v>25</v>
      </c>
      <c r="C48" s="210" t="str">
        <f>"Functionalized Net Plant (TCOS, Lns "&amp;TCOS!B94&amp;" thru "&amp;TCOS!B100&amp;")"</f>
        <v>Functionalized Net Plant (TCOS, Lns 41 thru 46)</v>
      </c>
      <c r="D48" s="86"/>
      <c r="E48" s="211">
        <f>+TCOS!G94</f>
        <v>625129156.57230794</v>
      </c>
      <c r="F48" s="210"/>
      <c r="G48" s="211">
        <f>+TCOS!G95</f>
        <v>664976802.14230776</v>
      </c>
      <c r="H48" s="210"/>
      <c r="I48" s="211">
        <f>+TCOS!G96</f>
        <v>841875305.03461516</v>
      </c>
      <c r="J48" s="210"/>
      <c r="K48" s="211">
        <f>+TCOS!G97</f>
        <v>101970513.64923079</v>
      </c>
      <c r="L48" s="86"/>
      <c r="M48" s="129">
        <f>SUM(E48:K48)</f>
        <v>2233951777.3984618</v>
      </c>
    </row>
    <row r="49" spans="1:21" ht="19.5">
      <c r="A49" s="90"/>
      <c r="C49" s="948" t="s">
        <v>899</v>
      </c>
      <c r="D49" s="86"/>
      <c r="E49" s="129"/>
      <c r="F49" s="86"/>
      <c r="G49" s="182"/>
      <c r="H49" s="86"/>
      <c r="I49" s="129"/>
      <c r="J49" s="86"/>
      <c r="K49" s="129"/>
      <c r="L49" s="86"/>
      <c r="M49" s="186"/>
    </row>
    <row r="50" spans="1:21" ht="19.5">
      <c r="A50" s="90">
        <f>+A48+1</f>
        <v>26</v>
      </c>
      <c r="C50" s="86" t="str">
        <f>"Percentage of Plant in "&amp;C49&amp;""</f>
        <v>Percentage of Plant in KENTUCKY JURISDICTION</v>
      </c>
      <c r="D50" s="86"/>
      <c r="E50" s="663">
        <v>0.15590554096914699</v>
      </c>
      <c r="F50" s="255"/>
      <c r="G50" s="663">
        <v>0.98782628248980098</v>
      </c>
      <c r="H50" s="255"/>
      <c r="I50" s="663">
        <v>1</v>
      </c>
      <c r="J50" s="182"/>
      <c r="K50" s="663">
        <v>0.99782874093208096</v>
      </c>
      <c r="L50" s="86"/>
      <c r="M50" s="186"/>
    </row>
    <row r="51" spans="1:21" ht="19.5">
      <c r="A51" s="90">
        <f t="shared" ref="A51:A57" si="1">+A50+1</f>
        <v>27</v>
      </c>
      <c r="C51" s="210" t="str">
        <f>"Net Plant in "&amp;C49&amp;" (Ln "&amp;A48&amp;" * Ln "&amp;A50&amp;")"</f>
        <v>Net Plant in KENTUCKY JURISDICTION (Ln 25 * Ln 26)</v>
      </c>
      <c r="D51" s="86"/>
      <c r="E51" s="129">
        <f>+E48*E50</f>
        <v>97461099.330992267</v>
      </c>
      <c r="F51" s="86"/>
      <c r="G51" s="129">
        <f>+G48*G50</f>
        <v>656881562.40219176</v>
      </c>
      <c r="H51" s="86"/>
      <c r="I51" s="129">
        <f>+I48*I50</f>
        <v>841875305.03461516</v>
      </c>
      <c r="J51" s="86"/>
      <c r="K51" s="129">
        <f>+K48*K50</f>
        <v>101749109.24680954</v>
      </c>
      <c r="L51" s="86"/>
      <c r="M51" s="129">
        <f>SUM(E51:K51)</f>
        <v>1697967076.0146086</v>
      </c>
      <c r="O51"/>
    </row>
    <row r="52" spans="1:21" ht="19.5">
      <c r="A52" s="90">
        <f t="shared" si="1"/>
        <v>28</v>
      </c>
      <c r="C52" s="210" t="s">
        <v>227</v>
      </c>
      <c r="D52" s="86"/>
      <c r="E52" s="1020">
        <v>38481225</v>
      </c>
      <c r="F52" s="86"/>
      <c r="G52" s="181"/>
      <c r="H52" s="86"/>
      <c r="I52" s="181"/>
      <c r="J52" s="86"/>
      <c r="K52" s="181"/>
      <c r="L52" s="86"/>
      <c r="M52" s="129"/>
      <c r="O52"/>
    </row>
    <row r="53" spans="1:21" ht="19.5">
      <c r="A53" s="90">
        <f t="shared" si="1"/>
        <v>29</v>
      </c>
      <c r="C53" s="86" t="str">
        <f>"Taxable Property Basis (Ln "&amp;A51&amp;" - Ln "&amp;A52&amp;")"</f>
        <v>Taxable Property Basis (Ln 27 - Ln 28)</v>
      </c>
      <c r="D53" s="86"/>
      <c r="E53" s="129">
        <f>+E51-E52</f>
        <v>58979874.330992267</v>
      </c>
      <c r="F53" s="86"/>
      <c r="G53" s="129">
        <f>+G51-G52</f>
        <v>656881562.40219176</v>
      </c>
      <c r="H53" s="86"/>
      <c r="I53" s="129">
        <f>+I51-I52</f>
        <v>841875305.03461516</v>
      </c>
      <c r="J53" s="86"/>
      <c r="K53" s="129">
        <f>+K51-K52</f>
        <v>101749109.24680954</v>
      </c>
      <c r="L53" s="86"/>
      <c r="M53" s="129">
        <f>SUM(E53:K53)</f>
        <v>1659485851.0146086</v>
      </c>
      <c r="O53"/>
    </row>
    <row r="54" spans="1:21" ht="19.5">
      <c r="A54" s="90">
        <f t="shared" si="1"/>
        <v>30</v>
      </c>
      <c r="C54" s="93" t="s">
        <v>463</v>
      </c>
      <c r="D54" s="86"/>
      <c r="E54" s="663">
        <v>0.33</v>
      </c>
      <c r="F54" s="255"/>
      <c r="G54" s="663">
        <v>1</v>
      </c>
      <c r="H54" s="255"/>
      <c r="I54" s="663">
        <v>1</v>
      </c>
      <c r="J54" s="182"/>
      <c r="K54" s="663">
        <v>1</v>
      </c>
      <c r="L54" s="86"/>
      <c r="M54" s="175">
        <f>SUM(E54:K54)</f>
        <v>3.33</v>
      </c>
      <c r="O54"/>
    </row>
    <row r="55" spans="1:21" ht="19.5">
      <c r="A55" s="90">
        <f t="shared" si="1"/>
        <v>31</v>
      </c>
      <c r="C55" s="210" t="str">
        <f>"Weighted Net Plant (Ln "&amp;A53&amp;" * Ln "&amp;A54&amp;")"</f>
        <v>Weighted Net Plant (Ln 29 * Ln 30)</v>
      </c>
      <c r="D55" s="86"/>
      <c r="E55" s="129">
        <f>+E53*E54</f>
        <v>19463358.52922745</v>
      </c>
      <c r="F55" s="86"/>
      <c r="G55" s="129">
        <f>+G53*G54</f>
        <v>656881562.40219176</v>
      </c>
      <c r="H55" s="86"/>
      <c r="I55" s="129">
        <f>+I53*I54</f>
        <v>841875305.03461516</v>
      </c>
      <c r="J55" s="86"/>
      <c r="K55" s="129">
        <f>+K53*K54</f>
        <v>101749109.24680954</v>
      </c>
      <c r="L55" s="86"/>
      <c r="M55" s="129"/>
      <c r="O55"/>
      <c r="P55"/>
      <c r="Q55"/>
      <c r="R55"/>
      <c r="S55"/>
      <c r="T55"/>
      <c r="U55"/>
    </row>
    <row r="56" spans="1:21" ht="19.5">
      <c r="A56" s="90">
        <f t="shared" si="1"/>
        <v>32</v>
      </c>
      <c r="C56" s="86" t="str">
        <f>+"General Plant Allocator (Ln "&amp;A55&amp;" / (Total - General Plant))"</f>
        <v>General Plant Allocator (Ln 31 / (Total - General Plant))</v>
      </c>
      <c r="D56" s="86"/>
      <c r="E56" s="130">
        <f>IF(E54=0,0,+E55/($E55+$G55+$I55))</f>
        <v>1.281985195319278E-2</v>
      </c>
      <c r="F56" s="86"/>
      <c r="G56" s="130">
        <f>IF(G54=0,0,+G55/($E55+$G55+$I55))</f>
        <v>0.43266553242249289</v>
      </c>
      <c r="H56" s="86"/>
      <c r="I56" s="130">
        <f>IF(I54=0,0,+I55/($E55+$G55+$I55))</f>
        <v>0.55451461562431426</v>
      </c>
      <c r="J56" s="86"/>
      <c r="K56" s="130">
        <v>-1</v>
      </c>
      <c r="L56" s="86"/>
      <c r="M56" s="86"/>
      <c r="O56"/>
      <c r="P56"/>
      <c r="Q56"/>
      <c r="R56"/>
      <c r="S56"/>
      <c r="T56"/>
      <c r="U56"/>
    </row>
    <row r="57" spans="1:21" ht="19.5">
      <c r="A57" s="90">
        <f t="shared" si="1"/>
        <v>33</v>
      </c>
      <c r="C57" s="86" t="str">
        <f>"Functionalized General Plant (Ln "&amp;A56&amp;" * General Plant)"</f>
        <v>Functionalized General Plant (Ln 32 * General Plant)</v>
      </c>
      <c r="D57" s="86"/>
      <c r="E57" s="131">
        <f>ROUND($K55*E56,0)</f>
        <v>1304409</v>
      </c>
      <c r="F57" s="86"/>
      <c r="G57" s="131">
        <f>+G56*K55</f>
        <v>44023332.525785245</v>
      </c>
      <c r="H57" s="86"/>
      <c r="I57" s="131">
        <f>ROUND($K55*I56,0)</f>
        <v>56421368</v>
      </c>
      <c r="J57" s="86"/>
      <c r="K57" s="131">
        <f>ROUND($K55*K56,0)</f>
        <v>-101749109</v>
      </c>
      <c r="L57" s="86"/>
      <c r="M57" s="129">
        <f>IF(SUM(E57:K57)&lt;&gt;0,0,0)</f>
        <v>0</v>
      </c>
      <c r="O57"/>
      <c r="P57"/>
      <c r="Q57"/>
      <c r="R57"/>
      <c r="S57"/>
      <c r="T57"/>
      <c r="U57"/>
    </row>
    <row r="58" spans="1:21" ht="19.5">
      <c r="A58" s="90">
        <f>+A57+1</f>
        <v>34</v>
      </c>
      <c r="C58" s="86" t="str">
        <f>"Weighted "&amp;C49&amp;" Plant (Ln "&amp;A55&amp;" + "&amp;A57&amp;")"</f>
        <v>Weighted KENTUCKY JURISDICTION Plant (Ln 31 + 33)</v>
      </c>
      <c r="D58" s="86"/>
      <c r="E58" s="129">
        <f>+E55+E57</f>
        <v>20767767.52922745</v>
      </c>
      <c r="F58" s="86"/>
      <c r="G58" s="129">
        <f>+G55+G57</f>
        <v>700904894.92797697</v>
      </c>
      <c r="H58" s="86"/>
      <c r="I58" s="129">
        <f>+I55+I57</f>
        <v>898296673.03461516</v>
      </c>
      <c r="J58" s="86"/>
      <c r="K58" s="129">
        <f>+K55+K57</f>
        <v>0.24680954217910767</v>
      </c>
      <c r="L58" s="86"/>
      <c r="M58" s="129">
        <f>SUM(E58:K58)-SUM(E57:K57)</f>
        <v>1619969335.2128439</v>
      </c>
      <c r="O58"/>
    </row>
    <row r="59" spans="1:21" ht="19.5">
      <c r="A59" s="90">
        <f>+A58+1</f>
        <v>35</v>
      </c>
      <c r="C59" s="86" t="str">
        <f>"Functional Percentage (Ln "&amp;A58&amp;"/Total Ln "&amp;A58&amp;")"</f>
        <v>Functional Percentage (Ln 34/Total Ln 34)</v>
      </c>
      <c r="D59" s="86"/>
      <c r="E59" s="182">
        <f>+E58/M58</f>
        <v>1.2819852251400069E-2</v>
      </c>
      <c r="F59" s="86"/>
      <c r="G59" s="183">
        <f>+G58/M58</f>
        <v>0.43266553242249289</v>
      </c>
      <c r="H59" s="86"/>
      <c r="I59" s="182">
        <f>+I58/M58</f>
        <v>0.55451461549831749</v>
      </c>
      <c r="J59" s="86"/>
      <c r="K59"/>
      <c r="L59" s="86"/>
      <c r="M59" s="129"/>
      <c r="O59"/>
    </row>
    <row r="60" spans="1:21" ht="19.5" hidden="1">
      <c r="A60" s="90"/>
      <c r="C60" s="948" t="s">
        <v>861</v>
      </c>
      <c r="D60" s="86"/>
      <c r="E60" s="129"/>
      <c r="F60" s="86"/>
      <c r="G60" s="129"/>
      <c r="H60" s="86"/>
      <c r="I60" s="129"/>
      <c r="J60" s="86"/>
      <c r="K60" s="129"/>
      <c r="L60" s="86"/>
      <c r="M60" s="129"/>
      <c r="O60"/>
    </row>
    <row r="61" spans="1:21" ht="19.5" hidden="1">
      <c r="A61" s="90">
        <f>+A59+1</f>
        <v>36</v>
      </c>
      <c r="C61" s="86" t="str">
        <f>"Percentage of Plant in "&amp;C60&amp;""</f>
        <v>Percentage of Plant in STATE JURISDICTION #2</v>
      </c>
      <c r="D61" s="86"/>
      <c r="E61" s="663"/>
      <c r="F61" s="255"/>
      <c r="G61" s="663"/>
      <c r="H61" s="255"/>
      <c r="I61" s="663"/>
      <c r="J61" s="182"/>
      <c r="K61" s="663"/>
      <c r="L61" s="86"/>
      <c r="M61" s="180"/>
      <c r="O61"/>
    </row>
    <row r="62" spans="1:21" ht="19.5" hidden="1">
      <c r="A62" s="90">
        <f t="shared" ref="A62:A69" si="2">+A61+1</f>
        <v>37</v>
      </c>
      <c r="C62" s="210" t="str">
        <f>"Net Plant in "&amp;C60&amp;" (Ln "&amp;A48&amp;" * Ln "&amp;A61&amp;")"</f>
        <v>Net Plant in STATE JURISDICTION #2 (Ln 25 * Ln 36)</v>
      </c>
      <c r="D62"/>
      <c r="E62" s="129">
        <f>+E61*E48</f>
        <v>0</v>
      </c>
      <c r="F62" s="86"/>
      <c r="G62" s="129">
        <f>+G61*G48</f>
        <v>0</v>
      </c>
      <c r="H62" s="86"/>
      <c r="I62" s="129">
        <f>+I61*I48</f>
        <v>0</v>
      </c>
      <c r="J62" s="86"/>
      <c r="K62" s="129">
        <f>+K61*K48</f>
        <v>0</v>
      </c>
      <c r="L62" s="86"/>
      <c r="M62" s="129">
        <f>SUM(E62:K62)</f>
        <v>0</v>
      </c>
      <c r="O62"/>
    </row>
    <row r="63" spans="1:21" ht="19.5" hidden="1">
      <c r="A63" s="90">
        <f t="shared" si="2"/>
        <v>38</v>
      </c>
      <c r="C63" s="210" t="s">
        <v>227</v>
      </c>
      <c r="D63"/>
      <c r="E63" s="958"/>
      <c r="F63" s="86"/>
      <c r="G63" s="181"/>
      <c r="H63" s="86"/>
      <c r="I63" s="181"/>
      <c r="J63" s="86"/>
      <c r="K63" s="181"/>
      <c r="L63" s="86"/>
      <c r="M63" s="129"/>
      <c r="O63"/>
    </row>
    <row r="64" spans="1:21" ht="19.5" hidden="1">
      <c r="A64" s="90">
        <f t="shared" si="2"/>
        <v>39</v>
      </c>
      <c r="C64" s="86" t="str">
        <f>"Taxable Property Basis (Ln "&amp;A62&amp;" - Ln "&amp;A63&amp;")"</f>
        <v>Taxable Property Basis (Ln 37 - Ln 38)</v>
      </c>
      <c r="D64"/>
      <c r="E64" s="129">
        <f>+E62-E63</f>
        <v>0</v>
      </c>
      <c r="F64" s="86"/>
      <c r="G64" s="129">
        <f>+G62-G63</f>
        <v>0</v>
      </c>
      <c r="H64" s="86"/>
      <c r="I64" s="129">
        <f>+I62-I63</f>
        <v>0</v>
      </c>
      <c r="J64" s="86"/>
      <c r="K64" s="129">
        <f>+K62-K63</f>
        <v>0</v>
      </c>
      <c r="L64" s="86"/>
      <c r="M64" s="129">
        <f>SUM(E64:K64)</f>
        <v>0</v>
      </c>
      <c r="O64"/>
    </row>
    <row r="65" spans="1:15" ht="19.5" hidden="1">
      <c r="A65" s="90">
        <f t="shared" si="2"/>
        <v>40</v>
      </c>
      <c r="C65" s="93" t="s">
        <v>463</v>
      </c>
      <c r="D65"/>
      <c r="E65" s="663"/>
      <c r="F65" s="255"/>
      <c r="G65" s="663"/>
      <c r="H65" s="255"/>
      <c r="I65" s="663"/>
      <c r="J65" s="182"/>
      <c r="K65" s="663"/>
      <c r="L65" s="86"/>
      <c r="M65" s="175">
        <f>SUM(E65:K65)</f>
        <v>0</v>
      </c>
      <c r="O65"/>
    </row>
    <row r="66" spans="1:15" ht="19.5" hidden="1">
      <c r="A66" s="90">
        <f t="shared" si="2"/>
        <v>41</v>
      </c>
      <c r="C66" s="210" t="str">
        <f>"Weighted Net Plant (Ln "&amp;A64&amp;" * Ln "&amp;A65&amp;")"</f>
        <v>Weighted Net Plant (Ln 39 * Ln 40)</v>
      </c>
      <c r="D66"/>
      <c r="E66" s="129">
        <f>+E64*E65</f>
        <v>0</v>
      </c>
      <c r="F66" s="86"/>
      <c r="G66" s="129">
        <f>+G64*G65</f>
        <v>0</v>
      </c>
      <c r="H66" s="86"/>
      <c r="I66" s="129">
        <f>+I64*I65</f>
        <v>0</v>
      </c>
      <c r="J66" s="86"/>
      <c r="K66" s="129">
        <f>+K64*K65</f>
        <v>0</v>
      </c>
      <c r="L66" s="86"/>
      <c r="M66" s="129"/>
      <c r="O66"/>
    </row>
    <row r="67" spans="1:15" ht="19.5" hidden="1">
      <c r="A67" s="90">
        <f t="shared" si="2"/>
        <v>42</v>
      </c>
      <c r="C67" s="86" t="str">
        <f>+"General Plant Allocator (Ln "&amp;A66&amp;" / (Total - General Plant))"</f>
        <v>General Plant Allocator (Ln 41 / (Total - General Plant))</v>
      </c>
      <c r="D67" s="86"/>
      <c r="E67" s="130">
        <f>IF(E65=0,0,+E66/($E66+$G66+$I66))</f>
        <v>0</v>
      </c>
      <c r="F67" s="86"/>
      <c r="G67" s="130">
        <f>IF(G65=0,0,+G66/($E66+$G66+$I66))</f>
        <v>0</v>
      </c>
      <c r="H67" s="86"/>
      <c r="I67" s="130">
        <f>IF(I65=0,0,+I66/($E66+$G66+$I66))</f>
        <v>0</v>
      </c>
      <c r="J67" s="86"/>
      <c r="K67" s="130">
        <v>-1</v>
      </c>
      <c r="L67" s="86"/>
      <c r="M67" s="86"/>
      <c r="O67"/>
    </row>
    <row r="68" spans="1:15" ht="19.5" hidden="1">
      <c r="A68" s="90">
        <f t="shared" si="2"/>
        <v>43</v>
      </c>
      <c r="C68" s="86" t="str">
        <f>"Functionalized General Plant (Ln "&amp;A67&amp;" * General Plant)"</f>
        <v>Functionalized General Plant (Ln 42 * General Plant)</v>
      </c>
      <c r="D68" s="86"/>
      <c r="E68" s="131">
        <f>ROUND($K66*E67,0)</f>
        <v>0</v>
      </c>
      <c r="F68" s="86"/>
      <c r="G68" s="131">
        <f>+G67*K66</f>
        <v>0</v>
      </c>
      <c r="H68" s="86"/>
      <c r="I68" s="131">
        <f>ROUND($K66*I67,0)</f>
        <v>0</v>
      </c>
      <c r="J68" s="86"/>
      <c r="K68" s="131">
        <f>ROUND($K66*K67,0)</f>
        <v>0</v>
      </c>
      <c r="L68" s="86"/>
      <c r="M68" s="129">
        <f>IF(SUM(E68:K68)&lt;&gt;0,0,0)</f>
        <v>0</v>
      </c>
      <c r="O68"/>
    </row>
    <row r="69" spans="1:15" ht="19.5" hidden="1">
      <c r="A69" s="90">
        <f t="shared" si="2"/>
        <v>44</v>
      </c>
      <c r="C69" s="86" t="str">
        <f>"Weighted "&amp;C60&amp;" Plant (Ln "&amp;A66&amp;" + "&amp;A68&amp;")"</f>
        <v>Weighted STATE JURISDICTION #2 Plant (Ln 41 + 43)</v>
      </c>
      <c r="D69" s="86"/>
      <c r="E69" s="129">
        <f>+E66+E68</f>
        <v>0</v>
      </c>
      <c r="F69" s="86"/>
      <c r="G69" s="129">
        <f>+G66+G68</f>
        <v>0</v>
      </c>
      <c r="H69" s="86"/>
      <c r="I69" s="129">
        <f>+I66+I68</f>
        <v>0</v>
      </c>
      <c r="J69" s="86"/>
      <c r="K69" s="129">
        <f>+K66+K68</f>
        <v>0</v>
      </c>
      <c r="L69" s="86"/>
      <c r="M69" s="129">
        <f>SUM(E69:K69)-SUM(E68:K68)</f>
        <v>0</v>
      </c>
      <c r="O69"/>
    </row>
    <row r="70" spans="1:15" ht="19.5" hidden="1">
      <c r="A70" s="90">
        <f>+A69+1</f>
        <v>45</v>
      </c>
      <c r="C70" s="86" t="str">
        <f>"Functional Percentage (Ln "&amp;A69&amp;"/Total Ln "&amp;A69&amp;")"</f>
        <v>Functional Percentage (Ln 44/Total Ln 44)</v>
      </c>
      <c r="D70" s="86"/>
      <c r="E70" s="182" t="e">
        <f>+E69/M69</f>
        <v>#DIV/0!</v>
      </c>
      <c r="F70" s="86"/>
      <c r="G70" s="183" t="e">
        <f>+G69/M69</f>
        <v>#DIV/0!</v>
      </c>
      <c r="H70" s="86"/>
      <c r="I70" s="182" t="e">
        <f>+I69/M69</f>
        <v>#DIV/0!</v>
      </c>
      <c r="J70" s="86"/>
      <c r="K70"/>
      <c r="L70" s="86"/>
      <c r="M70" s="129"/>
      <c r="O70"/>
    </row>
    <row r="71" spans="1:15" ht="19.5">
      <c r="A71" s="90"/>
      <c r="C71" s="948" t="s">
        <v>900</v>
      </c>
      <c r="D71" s="86"/>
      <c r="E71" s="258"/>
      <c r="F71" s="259"/>
      <c r="G71" s="260"/>
      <c r="H71" s="259"/>
      <c r="I71" s="258"/>
      <c r="J71" s="259"/>
      <c r="K71" s="257"/>
      <c r="L71" s="86"/>
      <c r="M71" s="129"/>
      <c r="O71"/>
    </row>
    <row r="72" spans="1:15" ht="19.5">
      <c r="A72" s="90">
        <f>+A70+1</f>
        <v>46</v>
      </c>
      <c r="C72" s="86" t="str">
        <f>"Net Plant in "&amp;C71&amp;" (Ln "&amp;A48&amp;" - Ln "&amp;A51&amp;" - Ln "&amp;A62&amp;")"</f>
        <v>Net Plant in WEST VIRGINIA JURISDICTION (Ln 25 - Ln 27 - Ln 37)</v>
      </c>
      <c r="D72" s="86"/>
      <c r="E72" s="258">
        <f>+E48-E51-E62</f>
        <v>527668057.24131566</v>
      </c>
      <c r="F72" s="259"/>
      <c r="G72" s="258">
        <f>+G48-G51-G62</f>
        <v>8095239.7401160002</v>
      </c>
      <c r="H72" s="259"/>
      <c r="I72" s="258">
        <f>+I48-I51-I62</f>
        <v>0</v>
      </c>
      <c r="J72" s="259"/>
      <c r="K72" s="258">
        <f>+K48-K51-K62</f>
        <v>221404.40242125094</v>
      </c>
      <c r="L72" s="86"/>
      <c r="M72" s="129">
        <f>SUM(E72:K72)</f>
        <v>535984701.3838529</v>
      </c>
      <c r="O72"/>
    </row>
    <row r="73" spans="1:15" ht="19.5">
      <c r="A73" s="90">
        <f t="shared" ref="A73:A79" si="3">+A72+1</f>
        <v>47</v>
      </c>
      <c r="C73" s="86" t="s">
        <v>600</v>
      </c>
      <c r="D73" s="86"/>
      <c r="E73" s="1022">
        <v>281832376</v>
      </c>
      <c r="F73" s="259"/>
      <c r="G73" s="261"/>
      <c r="H73" s="259"/>
      <c r="I73" s="261"/>
      <c r="J73" s="259"/>
      <c r="K73" s="261"/>
      <c r="L73" s="86"/>
      <c r="M73" s="129"/>
      <c r="O73"/>
    </row>
    <row r="74" spans="1:15" ht="19.5">
      <c r="A74" s="90">
        <f t="shared" si="3"/>
        <v>48</v>
      </c>
      <c r="C74" s="86" t="s">
        <v>601</v>
      </c>
      <c r="D74" s="86"/>
      <c r="E74" s="258">
        <f>+E72-E73</f>
        <v>245835681.24131566</v>
      </c>
      <c r="F74" s="259"/>
      <c r="G74" s="258">
        <f>+G72-G73</f>
        <v>8095239.7401160002</v>
      </c>
      <c r="H74" s="259"/>
      <c r="I74" s="258">
        <f>+I72-I73</f>
        <v>0</v>
      </c>
      <c r="J74" s="259"/>
      <c r="K74" s="258">
        <f>+K72-K73</f>
        <v>221404.40242125094</v>
      </c>
      <c r="L74" s="86"/>
      <c r="M74" s="129">
        <f>SUM(E74:K74)</f>
        <v>254152325.3838529</v>
      </c>
      <c r="O74"/>
    </row>
    <row r="75" spans="1:15" ht="19.5">
      <c r="A75" s="90">
        <f t="shared" si="3"/>
        <v>49</v>
      </c>
      <c r="C75" s="93" t="s">
        <v>463</v>
      </c>
      <c r="D75" s="86"/>
      <c r="E75" s="663">
        <v>1</v>
      </c>
      <c r="F75" s="255"/>
      <c r="G75" s="663">
        <v>1</v>
      </c>
      <c r="H75" s="255"/>
      <c r="I75" s="663">
        <v>1</v>
      </c>
      <c r="J75" s="182"/>
      <c r="K75" s="663">
        <v>1</v>
      </c>
      <c r="L75" s="86"/>
      <c r="M75" s="129"/>
      <c r="O75"/>
    </row>
    <row r="76" spans="1:15" ht="19.5">
      <c r="A76" s="90">
        <f t="shared" si="3"/>
        <v>50</v>
      </c>
      <c r="C76" s="86" t="str">
        <f>"Weighted Net Plant (Ln "&amp;A74&amp;" * Ln "&amp;A75&amp;")"</f>
        <v>Weighted Net Plant (Ln 48 * Ln 49)</v>
      </c>
      <c r="D76" s="86"/>
      <c r="E76" s="258">
        <f>+E74*E75</f>
        <v>245835681.24131566</v>
      </c>
      <c r="F76" s="259"/>
      <c r="G76" s="258">
        <f>+G74*G75</f>
        <v>8095239.7401160002</v>
      </c>
      <c r="H76" s="259"/>
      <c r="I76" s="258">
        <f>+I74*I75</f>
        <v>0</v>
      </c>
      <c r="J76" s="259"/>
      <c r="K76" s="258">
        <f>+K74*K75</f>
        <v>221404.40242125094</v>
      </c>
      <c r="L76" s="86"/>
      <c r="M76" s="129"/>
      <c r="O76"/>
    </row>
    <row r="77" spans="1:15" ht="19.5">
      <c r="A77" s="90">
        <f t="shared" si="3"/>
        <v>51</v>
      </c>
      <c r="C77" s="86" t="str">
        <f>+"General Plant Allocator (Ln "&amp;A76&amp;" / (Total - General Plant)"</f>
        <v>General Plant Allocator (Ln 50 / (Total - General Plant)</v>
      </c>
      <c r="D77" s="86"/>
      <c r="E77" s="262">
        <f>IF(E75=0,0,+E76/($E76+$G76+$I76))</f>
        <v>0.96812030725195553</v>
      </c>
      <c r="F77" s="259"/>
      <c r="G77" s="262">
        <f>IF(G75=0,0,+G76/($E76+$G76+$I76))</f>
        <v>3.1879692748044468E-2</v>
      </c>
      <c r="H77" s="259"/>
      <c r="I77" s="262">
        <f>IF(I75=0,0,+I76/($E76+$G76+$I76))</f>
        <v>0</v>
      </c>
      <c r="J77" s="259"/>
      <c r="K77" s="262">
        <v>-1</v>
      </c>
      <c r="L77" s="86"/>
      <c r="M77" s="129"/>
      <c r="O77"/>
    </row>
    <row r="78" spans="1:15" ht="19.5">
      <c r="A78" s="90">
        <f t="shared" si="3"/>
        <v>52</v>
      </c>
      <c r="C78" s="86" t="str">
        <f>"Functionalized General Plant (Ln "&amp;A78&amp;" * General Plant)"</f>
        <v>Functionalized General Plant (Ln 52 * General Plant)</v>
      </c>
      <c r="D78" s="86"/>
      <c r="E78" s="263">
        <f>ROUND($K76*E77,0)</f>
        <v>214346</v>
      </c>
      <c r="F78" s="259"/>
      <c r="G78" s="263">
        <f>ROUND($K76*G77,0)</f>
        <v>7058</v>
      </c>
      <c r="H78" s="259"/>
      <c r="I78" s="263">
        <f>ROUND($K76*I77,0)</f>
        <v>0</v>
      </c>
      <c r="J78" s="259"/>
      <c r="K78" s="263">
        <f>ROUND($K76*K77,0)</f>
        <v>-221404</v>
      </c>
      <c r="L78" s="86"/>
      <c r="M78" s="129"/>
      <c r="O78"/>
    </row>
    <row r="79" spans="1:15" ht="19.5">
      <c r="A79" s="90">
        <f t="shared" si="3"/>
        <v>53</v>
      </c>
      <c r="C79" s="86" t="str">
        <f>"Weighted "&amp;C71&amp;" Plant (Ln "&amp;A76&amp;" + "&amp;A78&amp;")"</f>
        <v>Weighted WEST VIRGINIA JURISDICTION Plant (Ln 50 + 52)</v>
      </c>
      <c r="D79" s="86"/>
      <c r="E79" s="258">
        <f>+E76+E78</f>
        <v>246050027.24131566</v>
      </c>
      <c r="F79" s="259"/>
      <c r="G79" s="258">
        <f>+G76+G78</f>
        <v>8102297.7401160002</v>
      </c>
      <c r="H79" s="259"/>
      <c r="I79" s="258">
        <f>+I76+I78</f>
        <v>0</v>
      </c>
      <c r="J79" s="259"/>
      <c r="K79" s="258">
        <f>+K76+K78</f>
        <v>0.4024212509393692</v>
      </c>
      <c r="L79" s="86"/>
      <c r="M79" s="129">
        <f>SUM(E79:K79)-SUM(E78:K78)</f>
        <v>254152325.3838529</v>
      </c>
      <c r="O79"/>
    </row>
    <row r="80" spans="1:15" ht="19.5">
      <c r="A80" s="90">
        <f>+A79+1</f>
        <v>54</v>
      </c>
      <c r="C80" s="86" t="str">
        <f>"Functional Percentage (Ln "&amp;A79&amp;"/Total Ln "&amp;A79&amp;")"</f>
        <v>Functional Percentage (Ln 53/Total Ln 53)</v>
      </c>
      <c r="D80" s="86"/>
      <c r="E80" s="257">
        <f>+E79/M79</f>
        <v>0.9681203068659705</v>
      </c>
      <c r="F80" s="259"/>
      <c r="G80" s="260">
        <f>+G79/M79</f>
        <v>3.1879691550643449E-2</v>
      </c>
      <c r="H80" s="259"/>
      <c r="I80" s="257">
        <f>+I79/M79</f>
        <v>0</v>
      </c>
      <c r="J80" s="253"/>
      <c r="K80" s="253"/>
      <c r="L80" s="86"/>
      <c r="M80" s="129"/>
      <c r="O80"/>
    </row>
    <row r="81" spans="1:15" ht="19.5">
      <c r="A81" s="90"/>
      <c r="C81" s="86"/>
      <c r="D81" s="86"/>
      <c r="E81" s="179"/>
      <c r="F81" s="86"/>
      <c r="G81" s="179"/>
      <c r="H81" s="86"/>
      <c r="I81" s="179"/>
      <c r="J81" s="86"/>
      <c r="K81"/>
      <c r="L81" s="86"/>
      <c r="M81" s="129"/>
      <c r="O81"/>
    </row>
    <row r="82" spans="1:15" ht="19.5">
      <c r="A82" s="90"/>
      <c r="C82" s="86"/>
      <c r="D82" s="86"/>
      <c r="E82" s="93"/>
      <c r="F82" s="93"/>
      <c r="G82" s="93"/>
      <c r="H82" s="93"/>
      <c r="I82" s="93"/>
      <c r="J82" s="86"/>
      <c r="K82" s="179"/>
      <c r="L82" s="86"/>
      <c r="M82" s="93"/>
      <c r="O82"/>
    </row>
  </sheetData>
  <mergeCells count="7">
    <mergeCell ref="A8:M8"/>
    <mergeCell ref="A7:M7"/>
    <mergeCell ref="C46:M46"/>
    <mergeCell ref="A3:M3"/>
    <mergeCell ref="A4:M4"/>
    <mergeCell ref="A5:M5"/>
    <mergeCell ref="A6:M6"/>
  </mergeCells>
  <phoneticPr fontId="73" type="noConversion"/>
  <pageMargins left="0.59" right="0.84" top="1" bottom="1" header="0.75" footer="0.5"/>
  <pageSetup scale="44" orientation="portrait" r:id="rId1"/>
  <headerFooter alignWithMargins="0">
    <oddHeader>&amp;R&amp;"Arial,Bold"Formula Rate 
&amp;A
Page &amp;P of &amp;N</oddHeader>
  </headerFooter>
  <colBreaks count="1" manualBreakCount="1">
    <brk id="13" min="2" max="9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T147"/>
  <sheetViews>
    <sheetView tabSelected="1" view="pageBreakPreview" topLeftCell="A20" zoomScale="70" zoomScaleNormal="70" zoomScaleSheetLayoutView="70" workbookViewId="0">
      <selection activeCell="D9" sqref="D9"/>
    </sheetView>
  </sheetViews>
  <sheetFormatPr defaultColWidth="9.140625" defaultRowHeight="12.75"/>
  <cols>
    <col min="1" max="1" width="7.42578125" style="99" customWidth="1"/>
    <col min="2" max="2" width="1.5703125" style="88" customWidth="1"/>
    <col min="3" max="3" width="68.5703125" style="88" customWidth="1"/>
    <col min="4" max="4" width="19.140625" style="88" customWidth="1"/>
    <col min="5" max="5" width="20.42578125" style="95" customWidth="1"/>
    <col min="6" max="6" width="20.42578125" style="88" bestFit="1" customWidth="1"/>
    <col min="7" max="7" width="40.42578125" style="88" bestFit="1" customWidth="1"/>
    <col min="8" max="8" width="16.140625" style="88" customWidth="1"/>
    <col min="9" max="9" width="34" style="88" customWidth="1"/>
    <col min="10" max="16384" width="9.140625" style="88"/>
  </cols>
  <sheetData>
    <row r="1" spans="1:20" ht="15.75">
      <c r="A1" s="693" t="s">
        <v>116</v>
      </c>
    </row>
    <row r="2" spans="1:20" ht="15.75">
      <c r="A2" s="693" t="s">
        <v>116</v>
      </c>
    </row>
    <row r="3" spans="1:20" ht="18.75" customHeight="1">
      <c r="A3" s="1210" t="s">
        <v>389</v>
      </c>
      <c r="B3" s="1210"/>
      <c r="C3" s="1210"/>
      <c r="D3" s="1210"/>
      <c r="E3" s="1210"/>
      <c r="F3" s="1210"/>
    </row>
    <row r="4" spans="1:20" ht="18.75" customHeight="1">
      <c r="A4" s="1211" t="str">
        <f>"Cost of Service Formula Rate Using Actual/Projected FF1 Balances"</f>
        <v>Cost of Service Formula Rate Using Actual/Projected FF1 Balances</v>
      </c>
      <c r="B4" s="1211"/>
      <c r="C4" s="1211"/>
      <c r="D4" s="1211"/>
      <c r="E4" s="1211"/>
      <c r="F4" s="1211"/>
    </row>
    <row r="5" spans="1:20" ht="18.75" customHeight="1">
      <c r="A5" s="1211" t="s">
        <v>219</v>
      </c>
      <c r="B5" s="1211"/>
      <c r="C5" s="1211"/>
      <c r="D5" s="1211"/>
      <c r="E5" s="1211"/>
      <c r="F5" s="1211"/>
    </row>
    <row r="6" spans="1:20" ht="18" customHeight="1">
      <c r="A6" s="1212" t="str">
        <f>TCOS!F9</f>
        <v>KENTUCKY POWER COMPANY</v>
      </c>
      <c r="B6" s="1211"/>
      <c r="C6" s="1211"/>
      <c r="D6" s="1211"/>
      <c r="E6" s="1211"/>
      <c r="F6" s="1211"/>
    </row>
    <row r="7" spans="1:20" ht="18" customHeight="1">
      <c r="A7" s="1219"/>
      <c r="B7" s="1219"/>
      <c r="C7" s="1219"/>
      <c r="D7" s="1219"/>
      <c r="E7" s="1219"/>
      <c r="F7" s="1219"/>
    </row>
    <row r="8" spans="1:20" ht="19.5" customHeight="1">
      <c r="A8" s="90"/>
      <c r="B8" s="89"/>
      <c r="C8" s="27" t="s">
        <v>164</v>
      </c>
      <c r="E8" s="27" t="s">
        <v>165</v>
      </c>
      <c r="F8" s="27" t="s">
        <v>166</v>
      </c>
      <c r="G8" s="27" t="s">
        <v>167</v>
      </c>
    </row>
    <row r="9" spans="1:20" ht="18">
      <c r="A9" s="167"/>
      <c r="B9" s="168"/>
      <c r="C9" s="168"/>
      <c r="D9" s="168"/>
      <c r="E9"/>
      <c r="F9"/>
      <c r="G9" s="30"/>
      <c r="H9" s="30"/>
      <c r="I9" s="30"/>
      <c r="J9" s="30"/>
      <c r="K9" s="30"/>
      <c r="L9" s="30"/>
      <c r="M9" s="30"/>
      <c r="N9" s="30"/>
      <c r="O9" s="30"/>
      <c r="P9" s="30"/>
      <c r="Q9" s="30"/>
      <c r="R9" s="30"/>
      <c r="S9" s="30"/>
      <c r="T9" s="30"/>
    </row>
    <row r="10" spans="1:20" ht="18">
      <c r="A10" s="167" t="s">
        <v>171</v>
      </c>
      <c r="B10" s="168"/>
      <c r="C10" s="168"/>
      <c r="D10" s="168"/>
      <c r="E10" s="169" t="s">
        <v>120</v>
      </c>
      <c r="F10" s="167" t="s">
        <v>77</v>
      </c>
    </row>
    <row r="11" spans="1:20" ht="18">
      <c r="A11" s="171" t="s">
        <v>119</v>
      </c>
      <c r="B11" s="217"/>
      <c r="C11" s="171" t="s">
        <v>30</v>
      </c>
      <c r="D11" s="836"/>
      <c r="E11" s="172" t="s">
        <v>185</v>
      </c>
      <c r="F11" s="171" t="s">
        <v>78</v>
      </c>
      <c r="G11" s="172" t="s">
        <v>79</v>
      </c>
      <c r="H11" s="836"/>
      <c r="I11" s="836"/>
    </row>
    <row r="12" spans="1:20" ht="18">
      <c r="A12" s="90"/>
      <c r="B12" s="89"/>
      <c r="C12" s="87"/>
      <c r="D12" s="87"/>
      <c r="E12" s="87"/>
      <c r="F12" s="167"/>
      <c r="G12" s="169"/>
      <c r="I12" s="837"/>
    </row>
    <row r="13" spans="1:20" ht="18">
      <c r="A13" s="90"/>
      <c r="B13" s="89"/>
      <c r="C13" s="89"/>
      <c r="D13" s="89"/>
      <c r="E13" s="91"/>
      <c r="F13" s="87"/>
    </row>
    <row r="14" spans="1:20" ht="19.5">
      <c r="A14" s="90">
        <v>1</v>
      </c>
      <c r="B14" s="89"/>
      <c r="C14" s="92" t="s">
        <v>325</v>
      </c>
      <c r="D14" s="89"/>
      <c r="E14" s="86"/>
      <c r="F14" s="89"/>
    </row>
    <row r="15" spans="1:20" ht="19.5">
      <c r="A15" s="90">
        <f>+A14+1</f>
        <v>2</v>
      </c>
      <c r="B15" s="89"/>
      <c r="C15" s="86" t="s">
        <v>309</v>
      </c>
      <c r="D15"/>
      <c r="E15" s="93">
        <f>SUM(F16:F21)</f>
        <v>18624</v>
      </c>
      <c r="F15" s="86"/>
    </row>
    <row r="16" spans="1:20" ht="19.5">
      <c r="A16" s="90"/>
      <c r="B16" s="89"/>
      <c r="C16" s="94"/>
      <c r="D16"/>
      <c r="E16" s="86"/>
      <c r="F16" s="664">
        <v>130</v>
      </c>
      <c r="G16" s="1104" t="s">
        <v>1306</v>
      </c>
      <c r="H16" s="1033"/>
    </row>
    <row r="17" spans="1:9" ht="19.5">
      <c r="A17" s="90"/>
      <c r="B17" s="89"/>
      <c r="C17" s="94"/>
      <c r="D17"/>
      <c r="E17" s="86"/>
      <c r="F17" s="664">
        <v>18494</v>
      </c>
      <c r="G17" s="1104" t="s">
        <v>1304</v>
      </c>
      <c r="H17" s="1033"/>
    </row>
    <row r="18" spans="1:9" ht="19.5">
      <c r="A18" s="90"/>
      <c r="B18" s="89"/>
      <c r="C18" s="94"/>
      <c r="D18"/>
      <c r="E18" s="86"/>
      <c r="F18" s="664"/>
      <c r="G18" s="1104"/>
    </row>
    <row r="19" spans="1:9" ht="18" customHeight="1">
      <c r="A19" s="90"/>
      <c r="B19" s="89"/>
      <c r="C19" s="94"/>
      <c r="D19"/>
      <c r="E19" s="86"/>
      <c r="F19" s="664"/>
      <c r="G19" s="665"/>
    </row>
    <row r="20" spans="1:9" ht="18" customHeight="1">
      <c r="A20" s="90"/>
      <c r="B20" s="89"/>
      <c r="C20" s="94"/>
      <c r="D20"/>
      <c r="E20" s="86"/>
      <c r="F20" s="664"/>
      <c r="G20" s="665"/>
    </row>
    <row r="21" spans="1:9" ht="18" customHeight="1">
      <c r="A21" s="90"/>
      <c r="B21" s="89"/>
      <c r="C21" s="94"/>
      <c r="D21"/>
      <c r="E21" s="86"/>
      <c r="F21" s="664"/>
      <c r="G21" s="665"/>
    </row>
    <row r="22" spans="1:9" ht="18" customHeight="1">
      <c r="A22" s="90"/>
      <c r="B22" s="89"/>
      <c r="C22" s="94"/>
      <c r="D22"/>
      <c r="E22" s="86"/>
      <c r="F22" s="664"/>
      <c r="G22" s="665"/>
    </row>
    <row r="23" spans="1:9" ht="18" customHeight="1">
      <c r="A23" s="90"/>
      <c r="B23" s="89"/>
      <c r="C23" s="94"/>
      <c r="D23"/>
      <c r="E23" s="86"/>
      <c r="F23" s="695"/>
      <c r="G23" s="696"/>
    </row>
    <row r="24" spans="1:9" ht="18" customHeight="1">
      <c r="A24" s="90"/>
      <c r="B24" s="89"/>
      <c r="C24" s="27" t="s">
        <v>164</v>
      </c>
      <c r="D24" s="27" t="s">
        <v>165</v>
      </c>
      <c r="E24" s="27" t="s">
        <v>166</v>
      </c>
      <c r="F24" s="27" t="s">
        <v>167</v>
      </c>
      <c r="G24" s="27" t="s">
        <v>85</v>
      </c>
      <c r="H24" s="862" t="s">
        <v>86</v>
      </c>
      <c r="I24" s="27" t="s">
        <v>87</v>
      </c>
    </row>
    <row r="25" spans="1:9" ht="58.5" customHeight="1">
      <c r="A25" s="171"/>
      <c r="B25" s="217"/>
      <c r="C25" s="863" t="s">
        <v>755</v>
      </c>
      <c r="D25" s="864" t="s">
        <v>673</v>
      </c>
      <c r="E25" s="865" t="s">
        <v>753</v>
      </c>
      <c r="F25" s="866" t="s">
        <v>754</v>
      </c>
      <c r="G25" s="867" t="s">
        <v>79</v>
      </c>
      <c r="H25" s="865" t="s">
        <v>820</v>
      </c>
      <c r="I25" s="866" t="s">
        <v>752</v>
      </c>
    </row>
    <row r="26" spans="1:9" ht="19.5">
      <c r="A26" s="90"/>
      <c r="B26" s="89"/>
      <c r="C26" s="94"/>
      <c r="D26" s="4"/>
      <c r="E26" s="86"/>
      <c r="F26" s="93"/>
      <c r="G26" s="218"/>
    </row>
    <row r="27" spans="1:9" ht="39">
      <c r="A27" s="825">
        <f>+A15+1</f>
        <v>3</v>
      </c>
      <c r="B27" s="826"/>
      <c r="C27" s="861" t="s">
        <v>751</v>
      </c>
      <c r="D27" s="868"/>
      <c r="E27" s="869">
        <f>E29+E39+E50+E56</f>
        <v>17984371.640000001</v>
      </c>
      <c r="F27" s="870"/>
      <c r="G27" s="838"/>
      <c r="H27" s="871"/>
      <c r="I27" s="869">
        <f>I29+I39+I50+I56</f>
        <v>6081741.1519436305</v>
      </c>
    </row>
    <row r="28" spans="1:9" ht="19.5">
      <c r="A28" s="90"/>
      <c r="B28" s="89"/>
      <c r="C28" s="92"/>
      <c r="D28"/>
      <c r="E28" s="86"/>
      <c r="F28" s="219"/>
      <c r="G28" s="218"/>
      <c r="H28" s="827"/>
      <c r="I28" s="828"/>
    </row>
    <row r="29" spans="1:9" ht="19.5">
      <c r="A29" s="90">
        <f>+A27+1</f>
        <v>4</v>
      </c>
      <c r="B29" s="89"/>
      <c r="C29" s="829" t="s">
        <v>901</v>
      </c>
      <c r="D29"/>
      <c r="E29" s="93">
        <f>SUM(F30:F37)</f>
        <v>14640256.84</v>
      </c>
      <c r="F29" s="219"/>
      <c r="G29" s="218"/>
      <c r="H29" s="89"/>
      <c r="I29" s="824">
        <f>SUM(I30:I38)</f>
        <v>5872186.3036800101</v>
      </c>
    </row>
    <row r="30" spans="1:9" ht="19.5">
      <c r="A30" s="90"/>
      <c r="B30" s="89"/>
      <c r="C30" s="829"/>
      <c r="D30" s="963">
        <v>2022</v>
      </c>
      <c r="E30" s="93"/>
      <c r="F30" s="664">
        <v>-501756.44999999995</v>
      </c>
      <c r="G30" s="1104" t="s">
        <v>638</v>
      </c>
      <c r="H30" s="964">
        <v>0.3938637544254201</v>
      </c>
      <c r="I30" s="875">
        <f>+F30*H30</f>
        <v>-197623.67920417056</v>
      </c>
    </row>
    <row r="31" spans="1:9" ht="19.5">
      <c r="A31" s="90"/>
      <c r="B31" s="89"/>
      <c r="C31" s="829"/>
      <c r="D31" s="963">
        <v>2023</v>
      </c>
      <c r="E31" s="93"/>
      <c r="F31" s="664">
        <v>-518832.49000000005</v>
      </c>
      <c r="G31" s="1104" t="s">
        <v>638</v>
      </c>
      <c r="H31" s="964">
        <v>0.39446759499256101</v>
      </c>
      <c r="I31" s="875">
        <f>+F31*H31</f>
        <v>-204662.60453430199</v>
      </c>
    </row>
    <row r="32" spans="1:9" ht="19.5">
      <c r="A32" s="90"/>
      <c r="B32" s="89"/>
      <c r="C32" s="829"/>
      <c r="D32" s="963">
        <v>2024</v>
      </c>
      <c r="E32" s="93"/>
      <c r="F32" s="664">
        <v>14984400</v>
      </c>
      <c r="G32" s="1104" t="s">
        <v>638</v>
      </c>
      <c r="H32" s="964">
        <v>0.39920169068229855</v>
      </c>
      <c r="I32" s="875">
        <f>+F32*H32</f>
        <v>5981797.8138598343</v>
      </c>
    </row>
    <row r="33" spans="1:10" ht="19.5">
      <c r="A33" s="90"/>
      <c r="B33" s="89"/>
      <c r="C33" s="829"/>
      <c r="D33" s="963">
        <v>2025</v>
      </c>
      <c r="E33" s="93"/>
      <c r="F33" s="664">
        <v>676445.77999999991</v>
      </c>
      <c r="G33" s="1104" t="s">
        <v>638</v>
      </c>
      <c r="H33" s="964">
        <f>'WS H Other Taxes'!G59</f>
        <v>0.43266553242249289</v>
      </c>
      <c r="I33" s="875">
        <f t="shared" ref="I33:I48" si="0">F33*H33</f>
        <v>292674.77355864848</v>
      </c>
    </row>
    <row r="34" spans="1:10" ht="19.5">
      <c r="A34" s="90"/>
      <c r="B34" s="89"/>
      <c r="C34" s="829"/>
      <c r="D34" s="963"/>
      <c r="E34" s="93"/>
      <c r="F34" s="664"/>
      <c r="G34" s="1104"/>
      <c r="H34" s="964"/>
      <c r="I34" s="875">
        <f t="shared" si="0"/>
        <v>0</v>
      </c>
    </row>
    <row r="35" spans="1:10" ht="19.5">
      <c r="A35" s="90"/>
      <c r="B35" s="89"/>
      <c r="C35" s="829"/>
      <c r="D35" s="963"/>
      <c r="E35" s="93"/>
      <c r="F35" s="664"/>
      <c r="G35" s="1104"/>
      <c r="H35" s="964"/>
      <c r="I35" s="875">
        <f t="shared" si="0"/>
        <v>0</v>
      </c>
    </row>
    <row r="36" spans="1:10" ht="19.5">
      <c r="A36" s="90"/>
      <c r="B36" s="89"/>
      <c r="C36" s="829"/>
      <c r="D36" s="963"/>
      <c r="E36" s="93"/>
      <c r="F36" s="664"/>
      <c r="G36" s="1104"/>
      <c r="H36" s="964"/>
      <c r="I36" s="875">
        <f t="shared" si="0"/>
        <v>0</v>
      </c>
    </row>
    <row r="37" spans="1:10" ht="19.5">
      <c r="A37" s="90"/>
      <c r="B37" s="89"/>
      <c r="C37" s="829"/>
      <c r="D37" s="963"/>
      <c r="E37" s="93"/>
      <c r="F37" s="664"/>
      <c r="G37" s="665"/>
      <c r="H37" s="964"/>
      <c r="I37" s="875"/>
    </row>
    <row r="38" spans="1:10" ht="19.5">
      <c r="A38" s="90"/>
      <c r="B38" s="89"/>
      <c r="C38" s="829"/>
      <c r="D38" s="664"/>
      <c r="E38" s="93"/>
      <c r="F38" s="664"/>
      <c r="G38" s="665"/>
      <c r="H38" s="823"/>
      <c r="I38" s="875"/>
    </row>
    <row r="39" spans="1:10" ht="19.5">
      <c r="A39" s="90">
        <f>+A29+1</f>
        <v>5</v>
      </c>
      <c r="B39" s="89"/>
      <c r="C39" s="829" t="s">
        <v>902</v>
      </c>
      <c r="D39"/>
      <c r="E39" s="93">
        <f>SUM(F40:F46)</f>
        <v>3344114.8</v>
      </c>
      <c r="F39" s="93"/>
      <c r="G39" s="218"/>
      <c r="I39" s="875">
        <f>SUM(I40:I48)</f>
        <v>209554.84826362028</v>
      </c>
    </row>
    <row r="40" spans="1:10" ht="19.5">
      <c r="A40" s="90"/>
      <c r="B40" s="89"/>
      <c r="C40" s="829"/>
      <c r="D40" s="963">
        <v>2023</v>
      </c>
      <c r="E40" s="93"/>
      <c r="F40" s="664">
        <v>1575127.38</v>
      </c>
      <c r="G40" s="1104" t="s">
        <v>638</v>
      </c>
      <c r="H40" s="964">
        <v>6.0503272009450104E-2</v>
      </c>
      <c r="I40" s="875">
        <f>F40*H40</f>
        <v>95300.360321672473</v>
      </c>
      <c r="J40" s="1033"/>
    </row>
    <row r="41" spans="1:10" ht="19.5">
      <c r="A41" s="90"/>
      <c r="B41" s="89"/>
      <c r="C41" s="829"/>
      <c r="D41" s="963">
        <v>2024</v>
      </c>
      <c r="E41" s="93"/>
      <c r="F41" s="664">
        <v>1766135.4200000002</v>
      </c>
      <c r="G41" s="1104" t="s">
        <v>638</v>
      </c>
      <c r="H41" s="964">
        <v>6.4640324727559886E-2</v>
      </c>
      <c r="I41" s="875">
        <f t="shared" si="0"/>
        <v>114163.56706164537</v>
      </c>
    </row>
    <row r="42" spans="1:10" ht="19.5">
      <c r="A42" s="90"/>
      <c r="B42" s="89"/>
      <c r="C42" s="829"/>
      <c r="D42" s="963">
        <v>2025</v>
      </c>
      <c r="E42" s="93"/>
      <c r="F42" s="664">
        <v>2852</v>
      </c>
      <c r="G42" s="1104" t="s">
        <v>638</v>
      </c>
      <c r="H42" s="964">
        <f>'WS H Other Taxes'!G80</f>
        <v>3.1879691550643449E-2</v>
      </c>
      <c r="I42" s="875">
        <f t="shared" si="0"/>
        <v>90.920880302435123</v>
      </c>
    </row>
    <row r="43" spans="1:10" ht="19.5">
      <c r="A43" s="90"/>
      <c r="B43" s="89"/>
      <c r="C43" s="829"/>
      <c r="D43" s="963"/>
      <c r="E43" s="93"/>
      <c r="F43" s="664"/>
      <c r="G43" s="1104"/>
      <c r="H43" s="964"/>
      <c r="I43" s="875"/>
    </row>
    <row r="44" spans="1:10" ht="19.5">
      <c r="A44" s="90"/>
      <c r="B44" s="89"/>
      <c r="C44" s="829"/>
      <c r="D44" s="963"/>
      <c r="E44" s="93"/>
      <c r="F44" s="664"/>
      <c r="G44" s="665"/>
      <c r="H44" s="964"/>
      <c r="I44" s="875"/>
    </row>
    <row r="45" spans="1:10" ht="19.5">
      <c r="A45" s="90"/>
      <c r="B45" s="89"/>
      <c r="C45" s="829"/>
      <c r="D45" s="963"/>
      <c r="E45" s="93"/>
      <c r="F45" s="664"/>
      <c r="G45" s="665"/>
      <c r="H45" s="964"/>
      <c r="I45" s="875"/>
    </row>
    <row r="46" spans="1:10" ht="19.5" hidden="1">
      <c r="A46" s="90"/>
      <c r="B46" s="89"/>
      <c r="C46" s="829"/>
      <c r="D46" s="664"/>
      <c r="E46" s="93"/>
      <c r="F46" s="664"/>
      <c r="G46" s="665"/>
      <c r="H46" s="665"/>
      <c r="I46" s="875">
        <f t="shared" si="0"/>
        <v>0</v>
      </c>
    </row>
    <row r="47" spans="1:10" ht="19.5" hidden="1">
      <c r="A47" s="90"/>
      <c r="B47" s="89"/>
      <c r="C47" s="829"/>
      <c r="D47" s="664"/>
      <c r="E47" s="93"/>
      <c r="F47" s="664"/>
      <c r="G47" s="665"/>
      <c r="H47" s="665"/>
      <c r="I47" s="875">
        <f t="shared" si="0"/>
        <v>0</v>
      </c>
    </row>
    <row r="48" spans="1:10" ht="19.5" hidden="1">
      <c r="A48" s="90"/>
      <c r="B48" s="89"/>
      <c r="C48" s="829"/>
      <c r="D48" s="664"/>
      <c r="E48" s="93"/>
      <c r="F48" s="664"/>
      <c r="G48" s="665"/>
      <c r="H48" s="665"/>
      <c r="I48" s="875">
        <f t="shared" si="0"/>
        <v>0</v>
      </c>
    </row>
    <row r="49" spans="1:9" ht="19.5">
      <c r="A49" s="90"/>
      <c r="B49" s="89"/>
      <c r="C49" s="829"/>
      <c r="D49" s="89"/>
      <c r="E49" s="93"/>
      <c r="F49" s="4"/>
      <c r="G49" s="250"/>
    </row>
    <row r="50" spans="1:9" ht="19.5">
      <c r="A50" s="90">
        <f>+A39+1</f>
        <v>6</v>
      </c>
      <c r="B50" s="89"/>
      <c r="C50" s="829" t="s">
        <v>599</v>
      </c>
      <c r="D50" s="190"/>
      <c r="E50" s="93">
        <f>SUM(F51:F54)</f>
        <v>0</v>
      </c>
      <c r="F50" s="86" t="s">
        <v>116</v>
      </c>
      <c r="G50" s="250" t="s">
        <v>116</v>
      </c>
      <c r="I50" s="876">
        <f>SUM(I51:I55)</f>
        <v>0</v>
      </c>
    </row>
    <row r="51" spans="1:9" ht="19.5">
      <c r="A51" s="90"/>
      <c r="B51" s="89"/>
      <c r="C51" s="829"/>
      <c r="D51" s="664"/>
      <c r="E51" s="93"/>
      <c r="F51" s="664"/>
      <c r="G51" s="665"/>
      <c r="H51" s="949"/>
      <c r="I51" s="875">
        <f>F51*H51</f>
        <v>0</v>
      </c>
    </row>
    <row r="52" spans="1:9" ht="19.5">
      <c r="A52" s="90"/>
      <c r="B52" s="89"/>
      <c r="C52" s="829"/>
      <c r="D52" s="664"/>
      <c r="E52" s="93"/>
      <c r="F52" s="664"/>
      <c r="G52" s="665"/>
      <c r="H52" s="665"/>
      <c r="I52" s="875">
        <f>F52*H52</f>
        <v>0</v>
      </c>
    </row>
    <row r="53" spans="1:9" ht="19.5">
      <c r="A53" s="90"/>
      <c r="B53" s="89"/>
      <c r="C53" s="829"/>
      <c r="D53" s="664"/>
      <c r="E53" s="93"/>
      <c r="F53" s="664"/>
      <c r="G53" s="665"/>
      <c r="H53" s="665"/>
      <c r="I53" s="875">
        <f>F53*H53</f>
        <v>0</v>
      </c>
    </row>
    <row r="54" spans="1:9" ht="19.5">
      <c r="A54" s="90"/>
      <c r="B54" s="89"/>
      <c r="C54" s="829"/>
      <c r="D54" s="664"/>
      <c r="E54" s="93"/>
      <c r="F54" s="664"/>
      <c r="G54" s="665"/>
      <c r="H54" s="665"/>
      <c r="I54" s="875">
        <f>F54*H54</f>
        <v>0</v>
      </c>
    </row>
    <row r="55" spans="1:9" ht="19.5">
      <c r="A55" s="90"/>
      <c r="B55" s="89"/>
      <c r="C55" s="829"/>
      <c r="D55" s="664"/>
      <c r="E55" s="93"/>
      <c r="F55" s="664"/>
      <c r="G55" s="665"/>
      <c r="H55" s="665"/>
      <c r="I55" s="875">
        <f>F55*H55</f>
        <v>0</v>
      </c>
    </row>
    <row r="56" spans="1:9" ht="19.5">
      <c r="A56" s="90"/>
      <c r="B56" s="89"/>
      <c r="C56" s="829"/>
      <c r="D56" s="190"/>
      <c r="E56" s="93">
        <f>SUM(F57:F59)</f>
        <v>0</v>
      </c>
      <c r="F56" s="249"/>
      <c r="G56" s="250"/>
      <c r="I56" s="876">
        <f>SUM(I57:I59)</f>
        <v>0</v>
      </c>
    </row>
    <row r="57" spans="1:9" ht="19.5">
      <c r="A57" s="90">
        <f>A50+1</f>
        <v>7</v>
      </c>
      <c r="B57" s="89"/>
      <c r="C57" s="829" t="s">
        <v>465</v>
      </c>
      <c r="D57" s="664"/>
      <c r="E57" s="93"/>
      <c r="F57" s="664">
        <v>0</v>
      </c>
      <c r="G57" s="1104"/>
      <c r="H57" s="949">
        <f>TCOS!J77</f>
        <v>0.26925414997392272</v>
      </c>
      <c r="I57" s="875">
        <f>F57*H57</f>
        <v>0</v>
      </c>
    </row>
    <row r="58" spans="1:9" ht="19.5">
      <c r="A58" s="90"/>
      <c r="B58" s="89"/>
      <c r="C58" s="89"/>
      <c r="D58" s="664"/>
      <c r="E58" s="93"/>
      <c r="F58" s="664"/>
      <c r="G58" s="665"/>
      <c r="H58" s="665"/>
      <c r="I58" s="875">
        <f>F58*H58</f>
        <v>0</v>
      </c>
    </row>
    <row r="59" spans="1:9" ht="19.5">
      <c r="A59" s="90"/>
      <c r="B59" s="89"/>
      <c r="C59" s="89"/>
      <c r="D59" s="664"/>
      <c r="E59" s="93"/>
      <c r="F59" s="664"/>
      <c r="G59" s="665"/>
      <c r="H59" s="665"/>
      <c r="I59" s="875">
        <f>F59*H59</f>
        <v>0</v>
      </c>
    </row>
    <row r="60" spans="1:9" ht="19.5">
      <c r="A60" s="839"/>
      <c r="B60" s="840"/>
      <c r="C60" s="840"/>
      <c r="D60" s="841"/>
      <c r="E60" s="842"/>
      <c r="F60" s="841"/>
      <c r="G60" s="843"/>
      <c r="H60" s="843"/>
      <c r="I60" s="844"/>
    </row>
    <row r="61" spans="1:9" ht="19.5">
      <c r="A61" s="90"/>
      <c r="B61" s="89"/>
      <c r="C61" s="89"/>
      <c r="D61" s="190"/>
      <c r="E61" s="93"/>
      <c r="F61" s="249"/>
      <c r="G61" s="250"/>
    </row>
    <row r="62" spans="1:9" ht="18">
      <c r="A62" s="90"/>
      <c r="B62" s="89"/>
      <c r="C62" s="27" t="s">
        <v>164</v>
      </c>
      <c r="E62" s="27" t="s">
        <v>165</v>
      </c>
      <c r="F62" s="27" t="s">
        <v>166</v>
      </c>
      <c r="G62" s="27" t="s">
        <v>167</v>
      </c>
    </row>
    <row r="63" spans="1:9" ht="18">
      <c r="A63" s="167"/>
      <c r="B63" s="168"/>
      <c r="C63" s="168"/>
      <c r="D63" s="168"/>
      <c r="E63"/>
      <c r="F63"/>
      <c r="G63" s="30"/>
    </row>
    <row r="64" spans="1:9" ht="18">
      <c r="A64" s="167" t="s">
        <v>171</v>
      </c>
      <c r="B64" s="168"/>
      <c r="C64" s="168"/>
      <c r="D64" s="168"/>
      <c r="E64" s="169" t="s">
        <v>120</v>
      </c>
      <c r="F64" s="167" t="s">
        <v>77</v>
      </c>
    </row>
    <row r="65" spans="1:11" ht="18">
      <c r="A65" s="171" t="s">
        <v>119</v>
      </c>
      <c r="B65" s="217"/>
      <c r="C65" s="171" t="s">
        <v>30</v>
      </c>
      <c r="D65" s="836"/>
      <c r="E65" s="172" t="s">
        <v>185</v>
      </c>
      <c r="F65" s="171" t="s">
        <v>78</v>
      </c>
      <c r="G65" s="172" t="s">
        <v>79</v>
      </c>
    </row>
    <row r="66" spans="1:11" ht="19.5">
      <c r="A66" s="90">
        <f>+A57+1</f>
        <v>8</v>
      </c>
      <c r="B66" s="89"/>
      <c r="C66" s="92" t="s">
        <v>327</v>
      </c>
      <c r="D66" s="89"/>
      <c r="E66" s="86"/>
      <c r="F66" s="89" t="s">
        <v>116</v>
      </c>
      <c r="G66" s="218"/>
    </row>
    <row r="67" spans="1:11" ht="19.5">
      <c r="A67" s="90">
        <f>+A66+1</f>
        <v>9</v>
      </c>
      <c r="B67" s="89"/>
      <c r="C67" s="89" t="s">
        <v>323</v>
      </c>
      <c r="D67" s="89"/>
      <c r="E67" s="93">
        <f>SUM(F68:F69)</f>
        <v>2034430.89</v>
      </c>
      <c r="F67" s="220"/>
      <c r="G67" s="218"/>
    </row>
    <row r="68" spans="1:11" ht="19.5">
      <c r="A68" s="90"/>
      <c r="B68" s="89"/>
      <c r="C68" s="89"/>
      <c r="D68" s="89"/>
      <c r="E68" s="93"/>
      <c r="F68" s="664">
        <v>2036431</v>
      </c>
      <c r="G68" s="1104" t="s">
        <v>1305</v>
      </c>
      <c r="K68" s="1175"/>
    </row>
    <row r="69" spans="1:11" ht="19.5">
      <c r="A69" s="90"/>
      <c r="B69" s="89"/>
      <c r="C69" s="89"/>
      <c r="D69" s="89"/>
      <c r="E69" s="93"/>
      <c r="F69" s="664">
        <v>-2000.11</v>
      </c>
      <c r="G69" s="1104" t="s">
        <v>638</v>
      </c>
    </row>
    <row r="70" spans="1:11" ht="19.5">
      <c r="A70" s="90">
        <f>+A67+1</f>
        <v>10</v>
      </c>
      <c r="B70" s="89"/>
      <c r="C70" s="89" t="s">
        <v>316</v>
      </c>
      <c r="D70" s="89"/>
      <c r="E70" s="93">
        <f>SUM(F71)</f>
        <v>8851</v>
      </c>
      <c r="F70" s="86"/>
      <c r="G70" s="259"/>
    </row>
    <row r="71" spans="1:11" ht="19.5">
      <c r="A71" s="90"/>
      <c r="B71" s="89"/>
      <c r="C71" s="89"/>
      <c r="D71" s="89"/>
      <c r="E71" s="93"/>
      <c r="F71" s="664">
        <v>8851</v>
      </c>
      <c r="G71" s="1104" t="s">
        <v>1302</v>
      </c>
    </row>
    <row r="72" spans="1:11" ht="19.5">
      <c r="A72" s="90">
        <f>+A70+1</f>
        <v>11</v>
      </c>
      <c r="B72" s="89"/>
      <c r="C72" s="89" t="s">
        <v>317</v>
      </c>
      <c r="D72" s="89"/>
      <c r="E72" s="93">
        <f>SUM(F73:F78)</f>
        <v>15601</v>
      </c>
      <c r="F72" s="86"/>
      <c r="G72" s="218"/>
    </row>
    <row r="73" spans="1:11" ht="19.5">
      <c r="A73" s="90"/>
      <c r="B73" s="89"/>
      <c r="C73" s="89"/>
      <c r="D73" s="89"/>
      <c r="E73" s="93"/>
      <c r="F73" s="664">
        <v>2232</v>
      </c>
      <c r="G73" s="1104" t="s">
        <v>1403</v>
      </c>
    </row>
    <row r="74" spans="1:11" ht="19.5">
      <c r="A74" s="90"/>
      <c r="B74" s="89"/>
      <c r="C74" s="89"/>
      <c r="D74" s="89"/>
      <c r="E74" s="93"/>
      <c r="F74" s="664">
        <v>13369</v>
      </c>
      <c r="G74" s="1104" t="s">
        <v>1301</v>
      </c>
    </row>
    <row r="75" spans="1:11" ht="19.5">
      <c r="A75" s="90"/>
      <c r="B75" s="89"/>
      <c r="C75" s="89"/>
      <c r="D75" s="89"/>
      <c r="E75" s="93"/>
      <c r="F75" s="664"/>
      <c r="G75" s="1104"/>
    </row>
    <row r="76" spans="1:11" ht="19.5">
      <c r="A76" s="90"/>
      <c r="B76" s="89"/>
      <c r="C76" s="89"/>
      <c r="D76" s="89"/>
      <c r="E76" s="93"/>
      <c r="F76" s="664"/>
      <c r="G76" s="1104"/>
    </row>
    <row r="77" spans="1:11" ht="19.5" hidden="1">
      <c r="A77" s="88"/>
      <c r="D77" s="89"/>
      <c r="E77" s="86"/>
      <c r="F77" s="664"/>
      <c r="G77" s="665"/>
    </row>
    <row r="78" spans="1:11" ht="19.5" hidden="1">
      <c r="A78" s="88"/>
      <c r="D78" s="89"/>
      <c r="E78" s="86"/>
      <c r="F78" s="664"/>
      <c r="G78" s="665"/>
    </row>
    <row r="79" spans="1:11" ht="19.5">
      <c r="A79" s="90">
        <f>A72+1</f>
        <v>12</v>
      </c>
      <c r="B79" s="89"/>
      <c r="C79" s="92" t="s">
        <v>442</v>
      </c>
      <c r="D79" s="89"/>
      <c r="E79" s="93">
        <f>SUM(F80:F80)</f>
        <v>0</v>
      </c>
      <c r="F79" s="249"/>
      <c r="G79" s="250"/>
    </row>
    <row r="80" spans="1:11" ht="19.5">
      <c r="A80" s="90">
        <f>+A79+1</f>
        <v>13</v>
      </c>
      <c r="B80" s="89"/>
      <c r="C80" s="86" t="s">
        <v>443</v>
      </c>
      <c r="D80" s="190"/>
      <c r="E80" s="93"/>
      <c r="F80" s="664"/>
      <c r="G80" s="665"/>
    </row>
    <row r="81" spans="1:7" ht="19.5">
      <c r="A81" s="90"/>
      <c r="B81" s="89"/>
      <c r="C81" s="86"/>
      <c r="D81" s="89"/>
      <c r="E81" s="224"/>
      <c r="F81" s="249"/>
      <c r="G81" s="86"/>
    </row>
    <row r="82" spans="1:7" ht="19.5">
      <c r="A82" s="96">
        <f>+A80+1</f>
        <v>14</v>
      </c>
      <c r="B82" s="89"/>
      <c r="C82" s="92" t="s">
        <v>324</v>
      </c>
      <c r="D82" s="98"/>
      <c r="E82" s="86"/>
      <c r="F82" s="86"/>
      <c r="G82" s="86"/>
    </row>
    <row r="83" spans="1:7" ht="19.5">
      <c r="A83" s="96">
        <f>A82+1</f>
        <v>15</v>
      </c>
      <c r="B83" s="97"/>
      <c r="C83" s="86" t="s">
        <v>441</v>
      </c>
      <c r="D83" s="98"/>
      <c r="E83" s="93">
        <f>SUM(F84:F85)</f>
        <v>5286299</v>
      </c>
      <c r="F83" s="86"/>
      <c r="G83" s="86"/>
    </row>
    <row r="84" spans="1:7" ht="19.5">
      <c r="A84" s="96"/>
      <c r="B84" s="97"/>
      <c r="C84" s="86"/>
      <c r="E84" s="224"/>
      <c r="F84" s="664">
        <v>5286299</v>
      </c>
      <c r="G84" s="1104" t="s">
        <v>1404</v>
      </c>
    </row>
    <row r="85" spans="1:7" ht="19.5">
      <c r="A85" s="96"/>
      <c r="B85" s="97"/>
      <c r="C85" s="86"/>
      <c r="E85" s="224"/>
      <c r="F85" s="664"/>
      <c r="G85" s="665"/>
    </row>
    <row r="86" spans="1:7" ht="19.5">
      <c r="A86" s="96"/>
      <c r="B86" s="97"/>
      <c r="C86" s="86"/>
      <c r="E86" s="224"/>
      <c r="F86" s="664"/>
      <c r="G86" s="665"/>
    </row>
    <row r="87" spans="1:7" ht="19.5">
      <c r="A87" s="90">
        <f>A83+1</f>
        <v>16</v>
      </c>
      <c r="B87" s="97"/>
      <c r="C87" s="86" t="s">
        <v>318</v>
      </c>
      <c r="D87" s="89"/>
      <c r="E87" s="93">
        <f>SUM(F88:F89)</f>
        <v>0</v>
      </c>
      <c r="F87" s="86"/>
      <c r="G87" s="86"/>
    </row>
    <row r="88" spans="1:7" ht="19.5">
      <c r="A88" s="90"/>
      <c r="B88" s="97"/>
      <c r="C88" s="86"/>
      <c r="D88" s="89"/>
      <c r="E88" s="93"/>
      <c r="F88" s="664"/>
      <c r="G88" s="665"/>
    </row>
    <row r="89" spans="1:7" ht="19.5">
      <c r="A89" s="90"/>
      <c r="B89" s="97"/>
      <c r="C89" s="86"/>
      <c r="D89" s="89"/>
      <c r="E89" s="93"/>
      <c r="F89" s="664"/>
      <c r="G89" s="665"/>
    </row>
    <row r="90" spans="1:7" ht="19.5">
      <c r="A90" s="90"/>
      <c r="B90" s="97"/>
      <c r="C90" s="86"/>
      <c r="D90" s="89"/>
      <c r="E90" s="93"/>
      <c r="F90" s="664"/>
      <c r="G90" s="665"/>
    </row>
    <row r="91" spans="1:7" ht="19.5">
      <c r="A91" s="90">
        <f>+A87+1</f>
        <v>17</v>
      </c>
      <c r="B91" s="89"/>
      <c r="C91" s="86" t="s">
        <v>319</v>
      </c>
      <c r="D91"/>
      <c r="E91" s="93">
        <f>SUM(F92:F99)</f>
        <v>0</v>
      </c>
    </row>
    <row r="92" spans="1:7" ht="19.5">
      <c r="A92" s="90"/>
      <c r="B92" s="89"/>
      <c r="C92" s="86"/>
      <c r="D92"/>
      <c r="E92" s="93"/>
      <c r="F92" s="664"/>
      <c r="G92" s="1104"/>
    </row>
    <row r="93" spans="1:7" ht="19.5">
      <c r="A93" s="90"/>
      <c r="B93" s="89"/>
      <c r="C93" s="86"/>
      <c r="D93"/>
      <c r="E93" s="93"/>
      <c r="F93" s="664"/>
      <c r="G93" s="665"/>
    </row>
    <row r="94" spans="1:7" ht="19.5">
      <c r="A94" s="90"/>
      <c r="B94" s="89"/>
      <c r="C94" s="86"/>
      <c r="D94"/>
      <c r="E94" s="93"/>
      <c r="F94" s="664"/>
      <c r="G94" s="665"/>
    </row>
    <row r="95" spans="1:7" ht="19.5">
      <c r="A95" s="90"/>
      <c r="B95" s="89"/>
      <c r="C95" s="86"/>
      <c r="D95"/>
      <c r="E95" s="93"/>
      <c r="F95" s="664"/>
      <c r="G95" s="665"/>
    </row>
    <row r="96" spans="1:7" ht="19.5">
      <c r="A96" s="90"/>
      <c r="B96" s="89"/>
      <c r="C96" s="86"/>
      <c r="D96"/>
      <c r="E96" s="93"/>
      <c r="F96" s="664"/>
      <c r="G96" s="665"/>
    </row>
    <row r="97" spans="1:7" ht="19.5">
      <c r="A97" s="90"/>
      <c r="B97" s="89"/>
      <c r="C97" s="86"/>
      <c r="D97"/>
      <c r="E97" s="93"/>
      <c r="F97" s="664"/>
      <c r="G97" s="665"/>
    </row>
    <row r="98" spans="1:7" ht="19.5">
      <c r="A98" s="90"/>
      <c r="B98" s="89"/>
      <c r="C98" s="86"/>
      <c r="D98"/>
      <c r="E98" s="93"/>
      <c r="F98" s="664"/>
      <c r="G98" s="665"/>
    </row>
    <row r="99" spans="1:7" ht="19.5">
      <c r="A99" s="90"/>
      <c r="B99" s="89"/>
      <c r="C99" s="86"/>
      <c r="D99"/>
      <c r="E99" s="93"/>
      <c r="F99" s="664"/>
      <c r="G99" s="665"/>
    </row>
    <row r="100" spans="1:7" ht="19.5">
      <c r="A100" s="90"/>
      <c r="B100" s="89"/>
      <c r="C100" s="86"/>
      <c r="D100"/>
      <c r="E100" s="93"/>
      <c r="F100" s="86"/>
      <c r="G100" s="86"/>
    </row>
    <row r="101" spans="1:7" ht="19.5">
      <c r="A101" s="90">
        <f>+A91+1</f>
        <v>18</v>
      </c>
      <c r="B101" s="89"/>
      <c r="C101" s="86" t="s">
        <v>320</v>
      </c>
      <c r="D101"/>
      <c r="E101" s="93">
        <f>SUM(F102:F107)</f>
        <v>0</v>
      </c>
      <c r="F101" s="86"/>
      <c r="G101" s="86"/>
    </row>
    <row r="102" spans="1:7" ht="19.5">
      <c r="A102" s="90"/>
      <c r="B102" s="89"/>
      <c r="C102" s="86"/>
      <c r="D102"/>
      <c r="E102" s="93"/>
      <c r="F102" s="664"/>
      <c r="G102" s="1104"/>
    </row>
    <row r="103" spans="1:7" ht="19.5">
      <c r="A103" s="90"/>
      <c r="B103" s="89"/>
      <c r="C103" s="86"/>
      <c r="D103"/>
      <c r="E103" s="93"/>
      <c r="F103" s="664"/>
      <c r="G103" s="1104"/>
    </row>
    <row r="104" spans="1:7" ht="19.5">
      <c r="A104" s="90"/>
      <c r="B104" s="89"/>
      <c r="C104" s="86"/>
      <c r="D104"/>
      <c r="E104" s="93"/>
      <c r="F104" s="664"/>
      <c r="G104" s="1104"/>
    </row>
    <row r="105" spans="1:7" ht="19.5">
      <c r="A105" s="90"/>
      <c r="B105" s="89"/>
      <c r="C105" s="86"/>
      <c r="D105"/>
      <c r="E105" s="93"/>
      <c r="F105" s="664"/>
      <c r="G105" s="1104"/>
    </row>
    <row r="106" spans="1:7" ht="19.5">
      <c r="A106" s="90"/>
      <c r="B106" s="89"/>
      <c r="C106" s="86"/>
      <c r="D106"/>
      <c r="E106" s="93"/>
      <c r="F106" s="664"/>
      <c r="G106" s="1104"/>
    </row>
    <row r="107" spans="1:7" ht="19.5">
      <c r="A107" s="90"/>
      <c r="B107" s="89"/>
      <c r="C107" s="86"/>
      <c r="D107"/>
      <c r="E107" s="93"/>
      <c r="F107" s="664"/>
      <c r="G107" s="1104"/>
    </row>
    <row r="108" spans="1:7" ht="19.5">
      <c r="A108" s="90">
        <f>+A101+1</f>
        <v>19</v>
      </c>
      <c r="B108" s="89"/>
      <c r="C108" s="86" t="s">
        <v>321</v>
      </c>
      <c r="D108" s="89"/>
      <c r="E108" s="93">
        <f>SUM(F109:F115)</f>
        <v>0</v>
      </c>
      <c r="F108" s="86"/>
      <c r="G108" s="250"/>
    </row>
    <row r="109" spans="1:7" ht="19.5">
      <c r="A109" s="90"/>
      <c r="B109" s="89"/>
      <c r="C109" s="86"/>
      <c r="D109" s="89"/>
      <c r="E109" s="93"/>
      <c r="F109" s="664"/>
      <c r="G109" s="1104"/>
    </row>
    <row r="110" spans="1:7" ht="19.5">
      <c r="A110" s="90"/>
      <c r="B110" s="89"/>
      <c r="C110" s="86"/>
      <c r="D110" s="89"/>
      <c r="E110" s="93"/>
      <c r="F110" s="664"/>
      <c r="G110" s="1104"/>
    </row>
    <row r="111" spans="1:7" ht="19.5">
      <c r="A111" s="90"/>
      <c r="B111" s="89"/>
      <c r="C111" s="86"/>
      <c r="D111" s="89"/>
      <c r="E111" s="93"/>
      <c r="F111" s="664"/>
      <c r="G111" s="1104"/>
    </row>
    <row r="112" spans="1:7" ht="19.5">
      <c r="A112" s="90"/>
      <c r="B112" s="89"/>
      <c r="C112" s="86"/>
      <c r="D112" s="89"/>
      <c r="E112" s="93"/>
      <c r="F112" s="664"/>
      <c r="G112" s="1104"/>
    </row>
    <row r="113" spans="1:9" ht="19.5">
      <c r="A113" s="90"/>
      <c r="B113" s="89"/>
      <c r="C113" s="86"/>
      <c r="D113" s="89"/>
      <c r="E113" s="93"/>
      <c r="F113" s="664"/>
      <c r="G113" s="1104"/>
    </row>
    <row r="114" spans="1:9" ht="19.5">
      <c r="A114" s="90"/>
      <c r="B114" s="89"/>
      <c r="C114" s="86"/>
      <c r="D114" s="89"/>
      <c r="E114" s="93"/>
      <c r="F114" s="664"/>
      <c r="G114" s="665"/>
    </row>
    <row r="115" spans="1:9" ht="19.5">
      <c r="A115" s="90"/>
      <c r="B115" s="89"/>
      <c r="C115" s="86"/>
      <c r="D115" s="89"/>
      <c r="E115" s="224"/>
      <c r="F115" s="664"/>
      <c r="G115" s="665"/>
    </row>
    <row r="116" spans="1:9" ht="19.5">
      <c r="A116" s="90">
        <f>+A108+1</f>
        <v>20</v>
      </c>
      <c r="B116" s="89"/>
      <c r="C116" s="86" t="s">
        <v>322</v>
      </c>
      <c r="E116" s="93">
        <f>SUM(F117:F121)</f>
        <v>55221</v>
      </c>
      <c r="G116" s="86"/>
    </row>
    <row r="117" spans="1:9" ht="19.5">
      <c r="A117" s="90"/>
      <c r="B117" s="89"/>
      <c r="C117" s="86"/>
      <c r="D117" s="89"/>
      <c r="E117" s="93"/>
      <c r="F117" s="664">
        <v>55178</v>
      </c>
      <c r="G117" s="1104" t="s">
        <v>1405</v>
      </c>
    </row>
    <row r="118" spans="1:9" ht="19.5">
      <c r="A118" s="90"/>
      <c r="B118" s="89"/>
      <c r="C118" s="86"/>
      <c r="D118" s="89"/>
      <c r="E118" s="93"/>
      <c r="F118" s="664">
        <v>43</v>
      </c>
      <c r="G118" s="1104" t="s">
        <v>1303</v>
      </c>
    </row>
    <row r="119" spans="1:9" ht="19.5">
      <c r="A119" s="90"/>
      <c r="B119" s="89"/>
      <c r="C119" s="86"/>
      <c r="D119" s="89"/>
      <c r="E119" s="93"/>
      <c r="F119" s="664"/>
      <c r="G119" s="1104"/>
    </row>
    <row r="120" spans="1:9" ht="19.5">
      <c r="A120" s="90"/>
      <c r="B120" s="89"/>
      <c r="C120" s="86"/>
      <c r="D120" s="89"/>
      <c r="E120" s="93"/>
      <c r="F120" s="664"/>
      <c r="G120" s="1104"/>
    </row>
    <row r="121" spans="1:9" ht="19.5">
      <c r="A121" s="90"/>
      <c r="B121" s="89"/>
      <c r="C121" s="86"/>
      <c r="D121" s="89"/>
      <c r="E121" s="93"/>
      <c r="F121" s="86"/>
      <c r="G121" s="86"/>
    </row>
    <row r="122" spans="1:9" ht="19.5">
      <c r="A122" s="90">
        <f>+A116+1</f>
        <v>21</v>
      </c>
      <c r="B122" s="89"/>
      <c r="C122" s="86" t="s">
        <v>310</v>
      </c>
      <c r="D122" s="86"/>
      <c r="E122" s="93">
        <f>SUM(F123:F124)</f>
        <v>11049</v>
      </c>
      <c r="F122" s="86"/>
      <c r="G122" s="86"/>
    </row>
    <row r="123" spans="1:9" ht="19.5">
      <c r="A123" s="90"/>
      <c r="B123" s="89"/>
      <c r="C123" s="86"/>
      <c r="D123" s="86"/>
      <c r="E123" s="93"/>
      <c r="F123" s="664">
        <v>11049</v>
      </c>
      <c r="G123" s="1104" t="s">
        <v>1307</v>
      </c>
    </row>
    <row r="124" spans="1:9" ht="19.5">
      <c r="A124" s="90"/>
      <c r="B124" s="89"/>
      <c r="C124" s="86"/>
      <c r="D124" s="86"/>
      <c r="E124" s="93"/>
      <c r="F124" s="664"/>
      <c r="G124" s="665"/>
    </row>
    <row r="125" spans="1:9" ht="19.5">
      <c r="A125" s="90">
        <f>+A122+1</f>
        <v>22</v>
      </c>
      <c r="B125" s="86"/>
      <c r="C125" s="108" t="s">
        <v>108</v>
      </c>
      <c r="D125" s="86"/>
      <c r="E125" s="93">
        <f>SUM(F126:F126)</f>
        <v>0</v>
      </c>
      <c r="F125" s="219"/>
      <c r="G125" s="86"/>
    </row>
    <row r="126" spans="1:9" ht="19.5">
      <c r="A126" s="90"/>
      <c r="B126" s="86"/>
      <c r="C126" s="108"/>
      <c r="D126" s="86"/>
      <c r="E126" s="93"/>
      <c r="F126" s="664"/>
      <c r="G126" s="665"/>
    </row>
    <row r="127" spans="1:9" ht="19.5">
      <c r="A127" s="4"/>
      <c r="B127" s="86"/>
      <c r="C127" s="208"/>
      <c r="D127"/>
      <c r="E127"/>
      <c r="F127" s="207"/>
      <c r="G127" s="1"/>
    </row>
    <row r="128" spans="1:9" ht="20.25" thickBot="1">
      <c r="A128" s="201">
        <f>+A125+1</f>
        <v>23</v>
      </c>
      <c r="B128" s="208"/>
      <c r="C128" s="86" t="s">
        <v>313</v>
      </c>
      <c r="D128"/>
      <c r="E128" s="107">
        <f>E15+E27+E67+E70+E72+E83+E87+E116+E101+E108+E122+E91</f>
        <v>25414447.530000001</v>
      </c>
      <c r="F128" s="1038">
        <f>SUM(F15:F126)</f>
        <v>25414447.530000001</v>
      </c>
      <c r="G128" s="86"/>
      <c r="I128" s="1175"/>
    </row>
    <row r="129" spans="1:9" ht="20.25" thickTop="1">
      <c r="A129" s="4"/>
      <c r="B129" s="208"/>
      <c r="C129" s="86" t="s">
        <v>383</v>
      </c>
      <c r="D129"/>
      <c r="E129"/>
      <c r="F129" s="219"/>
      <c r="G129" s="86"/>
      <c r="I129" s="876"/>
    </row>
    <row r="130" spans="1:9" ht="21">
      <c r="A130" s="4"/>
      <c r="B130" s="208"/>
      <c r="C130" s="86"/>
      <c r="D130"/>
      <c r="E130" s="234"/>
      <c r="F130" s="131" t="s">
        <v>116</v>
      </c>
      <c r="G130" s="86"/>
      <c r="I130" s="876"/>
    </row>
    <row r="131" spans="1:9" ht="20.25" customHeight="1">
      <c r="A131" s="1246" t="s">
        <v>765</v>
      </c>
      <c r="B131" s="1246"/>
      <c r="C131" s="1246"/>
      <c r="D131" s="1246"/>
      <c r="E131" s="1246"/>
      <c r="F131" s="1246"/>
      <c r="G131" s="1246"/>
    </row>
    <row r="132" spans="1:9" ht="20.25" customHeight="1">
      <c r="A132" s="1246"/>
      <c r="B132" s="1246"/>
      <c r="C132" s="1246"/>
      <c r="D132" s="1246"/>
      <c r="E132" s="1246"/>
      <c r="F132" s="1246"/>
      <c r="G132" s="1246"/>
    </row>
    <row r="133" spans="1:9" ht="20.25" customHeight="1">
      <c r="A133" s="1246"/>
      <c r="B133" s="1246"/>
      <c r="C133" s="1246"/>
      <c r="D133" s="1246"/>
      <c r="E133" s="1246"/>
      <c r="F133" s="1246"/>
      <c r="G133" s="1246"/>
    </row>
    <row r="134" spans="1:9" ht="20.25" customHeight="1">
      <c r="A134" s="1246"/>
      <c r="B134" s="1246"/>
      <c r="C134" s="1246"/>
      <c r="D134" s="1246"/>
      <c r="E134" s="1246"/>
      <c r="F134" s="1246"/>
      <c r="G134" s="1246"/>
    </row>
    <row r="135" spans="1:9" ht="20.25" customHeight="1">
      <c r="A135" s="1246"/>
      <c r="B135" s="1246"/>
      <c r="C135" s="1246"/>
      <c r="D135" s="1246"/>
      <c r="E135" s="1246"/>
      <c r="F135" s="1246"/>
      <c r="G135" s="1246"/>
    </row>
    <row r="136" spans="1:9" ht="20.25" customHeight="1">
      <c r="A136" s="872"/>
      <c r="B136" s="872"/>
      <c r="C136" s="872"/>
      <c r="D136" s="872"/>
      <c r="E136" s="872"/>
      <c r="F136" s="872"/>
      <c r="G136" s="872"/>
    </row>
    <row r="137" spans="1:9" ht="30.75" customHeight="1">
      <c r="A137" s="1245" t="s">
        <v>865</v>
      </c>
      <c r="B137" s="1245"/>
      <c r="C137" s="1245"/>
      <c r="D137" s="1245"/>
      <c r="E137" s="1245"/>
      <c r="F137" s="1245"/>
      <c r="G137" s="1245"/>
    </row>
    <row r="138" spans="1:9" ht="30.75" customHeight="1">
      <c r="A138" s="1245"/>
      <c r="B138" s="1245"/>
      <c r="C138" s="1245"/>
      <c r="D138" s="1245"/>
      <c r="E138" s="1245"/>
      <c r="F138" s="1245"/>
      <c r="G138" s="1245"/>
    </row>
    <row r="139" spans="1:9" ht="19.5">
      <c r="F139" s="86"/>
      <c r="G139" s="86"/>
    </row>
    <row r="140" spans="1:9" ht="19.5">
      <c r="F140" s="219"/>
      <c r="G140" s="86"/>
    </row>
    <row r="141" spans="1:9" ht="19.5">
      <c r="F141" s="219"/>
      <c r="G141" s="86"/>
    </row>
    <row r="142" spans="1:9" ht="19.5">
      <c r="F142" s="219"/>
      <c r="G142" s="86"/>
    </row>
    <row r="143" spans="1:9" ht="19.5">
      <c r="F143" s="86"/>
    </row>
    <row r="144" spans="1:9" ht="19.5">
      <c r="F144" s="86"/>
    </row>
    <row r="145" spans="6:6" ht="19.5">
      <c r="F145" s="86"/>
    </row>
    <row r="146" spans="6:6" ht="19.5">
      <c r="F146" s="86"/>
    </row>
    <row r="147" spans="6:6" ht="19.5">
      <c r="F147" s="93"/>
    </row>
  </sheetData>
  <mergeCells count="7">
    <mergeCell ref="A137:G138"/>
    <mergeCell ref="A131:G135"/>
    <mergeCell ref="A7:F7"/>
    <mergeCell ref="A3:F3"/>
    <mergeCell ref="A4:F4"/>
    <mergeCell ref="A5:F5"/>
    <mergeCell ref="A6:F6"/>
  </mergeCells>
  <phoneticPr fontId="73" type="noConversion"/>
  <pageMargins left="0.82" right="1.28" top="0.68" bottom="0.37" header="0.5" footer="0.5"/>
  <pageSetup scale="30" orientation="portrait" r:id="rId1"/>
  <headerFooter alignWithMargins="0">
    <oddHeader>&amp;R&amp;"Arial,Bold"Formula Rate 
&amp;A
Page &amp;P of &amp;N</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AC58"/>
  <sheetViews>
    <sheetView tabSelected="1" view="pageBreakPreview" zoomScale="60" zoomScaleNormal="100" workbookViewId="0">
      <selection activeCell="D9" sqref="D9"/>
    </sheetView>
  </sheetViews>
  <sheetFormatPr defaultRowHeight="12.75"/>
  <cols>
    <col min="1" max="1" width="4.5703125" customWidth="1"/>
    <col min="3" max="3" width="13.85546875" customWidth="1"/>
    <col min="4" max="4" width="18.85546875" customWidth="1"/>
    <col min="5" max="5" width="13.140625" customWidth="1"/>
    <col min="6" max="6" width="12.5703125" customWidth="1"/>
    <col min="7" max="8" width="19.42578125" customWidth="1"/>
    <col min="9" max="9" width="18.5703125" customWidth="1"/>
    <col min="10" max="10" width="1.42578125" customWidth="1"/>
    <col min="12" max="12" width="15" bestFit="1" customWidth="1"/>
  </cols>
  <sheetData>
    <row r="1" spans="1:29" ht="15.75">
      <c r="A1" s="693" t="s">
        <v>116</v>
      </c>
    </row>
    <row r="2" spans="1:29" ht="15.75">
      <c r="A2" s="693" t="s">
        <v>116</v>
      </c>
    </row>
    <row r="3" spans="1:29" ht="18">
      <c r="A3" s="1248" t="s">
        <v>389</v>
      </c>
      <c r="B3" s="1248"/>
      <c r="C3" s="1248"/>
      <c r="D3" s="1248"/>
      <c r="E3" s="1248"/>
      <c r="F3" s="1248"/>
      <c r="G3" s="1248"/>
      <c r="H3" s="1248"/>
      <c r="I3" s="1248"/>
      <c r="J3" s="1248"/>
      <c r="K3" s="124"/>
      <c r="L3" s="124"/>
      <c r="M3" s="124"/>
    </row>
    <row r="4" spans="1:29" ht="18">
      <c r="A4" s="1247" t="str">
        <f>"Cost of Service Formula Rate Using "&amp;TCOS!L4&amp;" FF1 Balances"</f>
        <v>Cost of Service Formula Rate Using 2025 FF1 Balances</v>
      </c>
      <c r="B4" s="1247"/>
      <c r="C4" s="1247"/>
      <c r="D4" s="1247"/>
      <c r="E4" s="1247"/>
      <c r="F4" s="1247"/>
      <c r="G4" s="1247"/>
      <c r="H4" s="1247"/>
      <c r="I4" s="1247"/>
      <c r="J4" s="1247"/>
      <c r="K4" s="77"/>
      <c r="L4" s="77"/>
      <c r="M4" s="77"/>
    </row>
    <row r="5" spans="1:29" ht="18">
      <c r="A5" s="1247" t="s">
        <v>548</v>
      </c>
      <c r="B5" s="1247"/>
      <c r="C5" s="1247"/>
      <c r="D5" s="1247"/>
      <c r="E5" s="1247"/>
      <c r="F5" s="1247"/>
      <c r="G5" s="1247"/>
      <c r="H5" s="1247"/>
      <c r="I5" s="1247"/>
      <c r="J5" s="1247"/>
      <c r="K5" s="125"/>
      <c r="L5" s="125"/>
      <c r="M5" s="125"/>
    </row>
    <row r="6" spans="1:29" ht="18">
      <c r="A6" s="1241" t="str">
        <f>+TCOS!F9</f>
        <v>KENTUCKY POWER COMPANY</v>
      </c>
      <c r="B6" s="1241"/>
      <c r="C6" s="1241"/>
      <c r="D6" s="1241"/>
      <c r="E6" s="1241"/>
      <c r="F6" s="1241"/>
      <c r="G6" s="1241"/>
      <c r="H6" s="1241"/>
      <c r="I6" s="1241"/>
      <c r="J6" s="1241"/>
      <c r="K6" s="132"/>
      <c r="L6" s="132"/>
      <c r="M6" s="132"/>
    </row>
    <row r="8" spans="1:29" ht="18">
      <c r="A8" s="138"/>
      <c r="B8" s="13"/>
      <c r="D8" s="81"/>
      <c r="E8" s="4"/>
      <c r="F8" s="83"/>
    </row>
    <row r="9" spans="1:29" ht="18">
      <c r="C9" s="4"/>
      <c r="D9" s="81"/>
      <c r="E9" s="4"/>
      <c r="F9" s="83"/>
      <c r="Q9" s="124"/>
      <c r="R9" s="124"/>
      <c r="S9" s="124"/>
      <c r="T9" s="124"/>
      <c r="U9" s="124"/>
      <c r="V9" s="124"/>
      <c r="W9" s="124"/>
      <c r="X9" s="124"/>
      <c r="Y9" s="124"/>
      <c r="Z9" s="124"/>
      <c r="AA9" s="124"/>
      <c r="AB9" s="124"/>
      <c r="AC9" s="124"/>
    </row>
    <row r="10" spans="1:29">
      <c r="C10" s="4"/>
      <c r="D10" s="81"/>
    </row>
    <row r="11" spans="1:29">
      <c r="C11" s="4"/>
      <c r="D11" s="81"/>
    </row>
    <row r="12" spans="1:29">
      <c r="C12" s="4"/>
      <c r="D12" s="81"/>
      <c r="H12" s="82"/>
    </row>
    <row r="13" spans="1:29">
      <c r="C13" s="4"/>
      <c r="D13" s="81"/>
      <c r="H13" s="82"/>
    </row>
    <row r="14" spans="1:29">
      <c r="C14" s="4"/>
      <c r="D14" s="81"/>
      <c r="E14" s="4"/>
      <c r="H14" s="82"/>
    </row>
    <row r="15" spans="1:29">
      <c r="C15" s="4"/>
      <c r="D15" s="81"/>
      <c r="E15" s="4"/>
      <c r="H15" s="83"/>
    </row>
    <row r="16" spans="1:29">
      <c r="C16" s="4"/>
      <c r="D16" s="81"/>
      <c r="E16" s="4"/>
      <c r="H16" s="133"/>
    </row>
    <row r="18" spans="1:12" ht="18">
      <c r="A18" s="138"/>
      <c r="B18" s="13"/>
    </row>
    <row r="20" spans="1:12">
      <c r="A20" s="12"/>
      <c r="B20" s="12"/>
      <c r="C20" s="134"/>
      <c r="E20" s="134"/>
      <c r="F20" s="134"/>
      <c r="G20" s="134"/>
      <c r="H20" s="134"/>
      <c r="I20" s="134"/>
      <c r="J20" s="135"/>
    </row>
    <row r="22" spans="1:12">
      <c r="E22" s="136"/>
      <c r="F22" s="137"/>
      <c r="G22" s="137"/>
      <c r="I22" s="137"/>
      <c r="L22" s="251"/>
    </row>
    <row r="23" spans="1:12">
      <c r="E23" s="84"/>
      <c r="F23" s="137"/>
      <c r="G23" s="137"/>
      <c r="I23" s="137"/>
      <c r="L23" s="251"/>
    </row>
    <row r="24" spans="1:12">
      <c r="E24" s="84"/>
      <c r="F24" s="137"/>
      <c r="G24" s="137"/>
      <c r="I24" s="137"/>
      <c r="L24" s="251"/>
    </row>
    <row r="25" spans="1:12">
      <c r="E25" s="84"/>
      <c r="F25" s="137"/>
      <c r="G25" s="137"/>
      <c r="I25" s="137"/>
      <c r="L25" s="251"/>
    </row>
    <row r="26" spans="1:12">
      <c r="E26" s="84"/>
      <c r="F26" s="137"/>
      <c r="G26" s="137"/>
      <c r="I26" s="137"/>
      <c r="L26" s="251"/>
    </row>
    <row r="27" spans="1:12">
      <c r="E27" s="84"/>
      <c r="F27" s="137"/>
      <c r="G27" s="137"/>
      <c r="I27" s="137"/>
      <c r="L27" s="251"/>
    </row>
    <row r="28" spans="1:12">
      <c r="E28" s="84"/>
      <c r="F28" s="137"/>
      <c r="G28" s="137"/>
      <c r="I28" s="137"/>
      <c r="L28" s="251"/>
    </row>
    <row r="29" spans="1:12">
      <c r="E29" s="84"/>
      <c r="F29" s="137"/>
      <c r="G29" s="137"/>
      <c r="I29" s="137"/>
      <c r="L29" s="251"/>
    </row>
    <row r="30" spans="1:12">
      <c r="E30" s="84"/>
      <c r="F30" s="137"/>
      <c r="G30" s="137"/>
      <c r="I30" s="137"/>
      <c r="L30" s="251"/>
    </row>
    <row r="31" spans="1:12">
      <c r="E31" s="84"/>
      <c r="F31" s="137"/>
      <c r="G31" s="137"/>
      <c r="I31" s="137"/>
      <c r="L31" s="251"/>
    </row>
    <row r="32" spans="1:12">
      <c r="E32" s="84"/>
      <c r="F32" s="137"/>
      <c r="G32" s="137"/>
      <c r="I32" s="137"/>
      <c r="L32" s="251"/>
    </row>
    <row r="33" spans="1:12">
      <c r="E33" s="84"/>
      <c r="F33" s="137"/>
      <c r="G33" s="137"/>
      <c r="I33" s="137"/>
      <c r="L33" s="251"/>
    </row>
    <row r="35" spans="1:12">
      <c r="H35" s="79"/>
      <c r="I35" s="256"/>
    </row>
    <row r="37" spans="1:12" ht="18">
      <c r="A37" s="138"/>
      <c r="B37" s="13"/>
    </row>
    <row r="44" spans="1:12" ht="18">
      <c r="A44" s="138"/>
      <c r="B44" s="146"/>
      <c r="C44" s="139"/>
      <c r="E44" s="139"/>
      <c r="F44" s="139"/>
      <c r="G44" s="139"/>
      <c r="H44" s="139"/>
      <c r="I44" s="81"/>
    </row>
    <row r="45" spans="1:12">
      <c r="B45" s="140"/>
      <c r="C45" s="139"/>
      <c r="E45" s="139"/>
      <c r="F45" s="139"/>
      <c r="G45" s="139"/>
      <c r="H45" s="139"/>
      <c r="I45" s="81"/>
    </row>
    <row r="46" spans="1:12">
      <c r="B46" s="145"/>
      <c r="C46" s="139"/>
      <c r="E46" s="139"/>
      <c r="F46" s="139"/>
      <c r="G46" s="147"/>
      <c r="H46" s="147"/>
    </row>
    <row r="47" spans="1:12">
      <c r="B47" s="145"/>
      <c r="C47" s="141"/>
      <c r="E47" s="141"/>
      <c r="F47" s="141"/>
      <c r="G47" s="141"/>
    </row>
    <row r="48" spans="1:12">
      <c r="B48" s="143"/>
      <c r="F48" s="79"/>
      <c r="G48" s="176"/>
      <c r="H48" s="1"/>
      <c r="I48" s="144"/>
      <c r="J48" s="148"/>
    </row>
    <row r="49" spans="2:10">
      <c r="B49" s="143"/>
      <c r="F49" s="79"/>
      <c r="G49" s="142"/>
      <c r="H49" s="1"/>
      <c r="I49" s="144"/>
      <c r="J49" s="148"/>
    </row>
    <row r="50" spans="2:10">
      <c r="B50" s="145"/>
      <c r="G50" s="142"/>
      <c r="H50" s="1"/>
      <c r="I50" s="144"/>
      <c r="J50" s="148"/>
    </row>
    <row r="51" spans="2:10">
      <c r="C51" s="139"/>
      <c r="D51" s="139"/>
      <c r="E51" s="139"/>
      <c r="F51" s="139"/>
      <c r="G51" s="176"/>
      <c r="H51" s="148"/>
      <c r="J51" s="148"/>
    </row>
    <row r="52" spans="2:10">
      <c r="F52" s="79"/>
      <c r="G52" s="176"/>
      <c r="J52" s="149"/>
    </row>
    <row r="55" spans="2:10">
      <c r="D55" s="149"/>
    </row>
    <row r="56" spans="2:10">
      <c r="D56" s="149"/>
      <c r="H56" s="81"/>
    </row>
    <row r="57" spans="2:10">
      <c r="D57" s="149"/>
      <c r="H57" s="139"/>
    </row>
    <row r="58" spans="2:10">
      <c r="D58" s="149"/>
    </row>
  </sheetData>
  <mergeCells count="4">
    <mergeCell ref="A4:J4"/>
    <mergeCell ref="A3:J3"/>
    <mergeCell ref="A6:J6"/>
    <mergeCell ref="A5:J5"/>
  </mergeCells>
  <phoneticPr fontId="0" type="noConversion"/>
  <pageMargins left="0.26" right="0.61" top="1" bottom="1" header="0.75" footer="0.5"/>
  <pageSetup scale="75"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P170"/>
  <sheetViews>
    <sheetView view="pageBreakPreview" zoomScale="85" zoomScaleNormal="100" zoomScaleSheetLayoutView="85" workbookViewId="0">
      <selection activeCell="A3" sqref="A3:O3"/>
    </sheetView>
  </sheetViews>
  <sheetFormatPr defaultColWidth="8.85546875" defaultRowHeight="12.75"/>
  <cols>
    <col min="1" max="1" width="4.5703125" customWidth="1"/>
    <col min="2" max="2" width="6.5703125" customWidth="1"/>
    <col min="3" max="3" width="42" customWidth="1"/>
    <col min="4" max="4" width="17.5703125" style="1" customWidth="1"/>
    <col min="5" max="7" width="17.5703125" customWidth="1"/>
    <col min="8" max="8" width="17.5703125" style="432" customWidth="1"/>
    <col min="9" max="9" width="17.5703125" bestFit="1" customWidth="1"/>
    <col min="10" max="10" width="2.140625" customWidth="1"/>
    <col min="11" max="11" width="20.5703125" customWidth="1"/>
    <col min="12" max="14" width="17.5703125" customWidth="1"/>
    <col min="15" max="15" width="16.5703125" customWidth="1"/>
    <col min="16" max="16" width="2.140625" style="4" customWidth="1"/>
  </cols>
  <sheetData>
    <row r="1" spans="1:16" ht="15.75">
      <c r="A1" s="693" t="s">
        <v>116</v>
      </c>
    </row>
    <row r="2" spans="1:16" ht="15.75">
      <c r="A2" s="693" t="s">
        <v>116</v>
      </c>
    </row>
    <row r="3" spans="1:16" ht="15">
      <c r="A3" s="1210" t="s">
        <v>389</v>
      </c>
      <c r="B3" s="1210"/>
      <c r="C3" s="1210"/>
      <c r="D3" s="1210"/>
      <c r="E3" s="1210"/>
      <c r="F3" s="1210"/>
      <c r="G3" s="1210"/>
      <c r="H3" s="1210"/>
      <c r="I3" s="1210"/>
      <c r="J3" s="1210"/>
      <c r="K3" s="1210"/>
      <c r="L3" s="1210"/>
      <c r="M3" s="1210"/>
      <c r="N3" s="1210"/>
      <c r="O3" s="1210"/>
    </row>
    <row r="4" spans="1:16" ht="15">
      <c r="A4" s="1211" t="str">
        <f>"Cost of Service Formula Rate Using "&amp;TCOS!L4&amp;" FF1 Balances"</f>
        <v>Cost of Service Formula Rate Using 2025 FF1 Balances</v>
      </c>
      <c r="B4" s="1211"/>
      <c r="C4" s="1211"/>
      <c r="D4" s="1211"/>
      <c r="E4" s="1211"/>
      <c r="F4" s="1211"/>
      <c r="G4" s="1211"/>
      <c r="H4" s="1211"/>
      <c r="I4" s="1211"/>
      <c r="J4" s="1211"/>
      <c r="K4" s="1211"/>
      <c r="L4" s="1211"/>
      <c r="M4" s="1211"/>
      <c r="N4" s="1211"/>
      <c r="O4" s="1211"/>
    </row>
    <row r="5" spans="1:16" ht="15">
      <c r="A5" s="1211" t="s">
        <v>470</v>
      </c>
      <c r="B5" s="1211"/>
      <c r="C5" s="1211"/>
      <c r="D5" s="1211"/>
      <c r="E5" s="1211"/>
      <c r="F5" s="1211"/>
      <c r="G5" s="1211"/>
      <c r="H5" s="1211"/>
      <c r="I5" s="1211"/>
      <c r="J5" s="1211"/>
      <c r="K5" s="1211"/>
      <c r="L5" s="1211"/>
      <c r="M5" s="1211"/>
      <c r="N5" s="1211"/>
      <c r="O5" s="1211"/>
    </row>
    <row r="6" spans="1:16" ht="15">
      <c r="A6" s="1219" t="str">
        <f>TCOS!F9</f>
        <v>KENTUCKY POWER COMPANY</v>
      </c>
      <c r="B6" s="1219"/>
      <c r="C6" s="1219"/>
      <c r="D6" s="1219"/>
      <c r="E6" s="1219"/>
      <c r="F6" s="1219"/>
      <c r="G6" s="1219"/>
      <c r="H6" s="1219"/>
      <c r="I6" s="1219"/>
      <c r="J6" s="1219"/>
      <c r="K6" s="1219"/>
      <c r="L6" s="1219"/>
      <c r="M6" s="1219"/>
      <c r="N6" s="1219"/>
      <c r="O6" s="1219"/>
    </row>
    <row r="8" spans="1:16" ht="20.25">
      <c r="A8" s="433"/>
      <c r="N8" s="11" t="str">
        <f>"Page "&amp;P8&amp;" of "</f>
        <v xml:space="preserve">Page 1 of </v>
      </c>
      <c r="O8" s="434">
        <f>COUNT(P$8:P$57923)</f>
        <v>2</v>
      </c>
      <c r="P8" s="11">
        <v>1</v>
      </c>
    </row>
    <row r="9" spans="1:16" ht="18">
      <c r="C9" s="13"/>
    </row>
    <row r="11" spans="1:16" ht="18">
      <c r="B11" s="435" t="s">
        <v>173</v>
      </c>
      <c r="C11" s="1258" t="str">
        <f>"Calculate Return and Income Taxes with "&amp;F17&amp;" basis point ROE increase for Projects Qualified for Regional Billing."</f>
        <v>Calculate Return and Income Taxes with  basis point ROE increase for Projects Qualified for Regional Billing.</v>
      </c>
      <c r="D11" s="1259"/>
      <c r="E11" s="1259"/>
      <c r="F11" s="1259"/>
      <c r="G11" s="1259"/>
      <c r="H11" s="1259"/>
    </row>
    <row r="12" spans="1:16" ht="18.75" customHeight="1">
      <c r="C12" s="1259"/>
      <c r="D12" s="1259"/>
      <c r="E12" s="1259"/>
      <c r="F12" s="1259"/>
      <c r="G12" s="1259"/>
      <c r="H12" s="1259"/>
    </row>
    <row r="13" spans="1:16" ht="15.75" customHeight="1">
      <c r="C13" s="12"/>
      <c r="D13" s="12"/>
      <c r="E13" s="12"/>
      <c r="F13" s="12"/>
      <c r="G13" s="12"/>
      <c r="H13" s="12"/>
    </row>
    <row r="14" spans="1:16" ht="15.75">
      <c r="C14" s="436" t="str">
        <f>"A.   Determine 'R' with hypothetical "&amp;F17&amp;" basis point increase in ROE for Identified Projects"</f>
        <v>A.   Determine 'R' with hypothetical  basis point increase in ROE for Identified Projects</v>
      </c>
    </row>
    <row r="16" spans="1:16">
      <c r="C16" s="437" t="str">
        <f>"   ROE w/o incentives  (TCOS, ln "&amp;TCOS!B273&amp;")"</f>
        <v xml:space="preserve">   ROE w/o incentives  (TCOS, ln 156)</v>
      </c>
      <c r="E16" s="438"/>
      <c r="F16" s="439">
        <f>TCOS!J273</f>
        <v>0.10349999999999999</v>
      </c>
      <c r="G16" s="438"/>
      <c r="H16" s="440"/>
      <c r="I16" s="440"/>
      <c r="J16" s="440"/>
      <c r="K16" s="440"/>
      <c r="L16" s="440"/>
      <c r="M16" s="440"/>
      <c r="N16" s="440"/>
      <c r="O16" s="440"/>
      <c r="P16" s="440"/>
    </row>
    <row r="17" spans="3:16">
      <c r="C17" s="437" t="s">
        <v>254</v>
      </c>
      <c r="E17" s="438"/>
      <c r="F17" s="666"/>
      <c r="G17" s="438"/>
      <c r="H17" s="440"/>
      <c r="I17" s="440"/>
      <c r="J17" s="440"/>
    </row>
    <row r="18" spans="3:16">
      <c r="C18" s="437" t="str">
        <f>"   ROE with additional "&amp;F17&amp;" basis point incentive"</f>
        <v xml:space="preserve">   ROE with additional  basis point incentive</v>
      </c>
      <c r="D18" s="438"/>
      <c r="E18" s="438"/>
      <c r="F18" s="441">
        <f>IF((F16+(F17/10000)&gt;0.1274),"ERROR",F16+(F17/10000))</f>
        <v>0.10349999999999999</v>
      </c>
      <c r="G18" s="442"/>
      <c r="H18" s="440"/>
      <c r="I18" s="440"/>
      <c r="J18" s="440"/>
    </row>
    <row r="19" spans="3:16">
      <c r="C19" s="437"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E19" s="438"/>
      <c r="F19" s="443"/>
      <c r="G19" s="438"/>
      <c r="H19" s="440"/>
      <c r="I19" s="440"/>
      <c r="J19" s="440"/>
    </row>
    <row r="20" spans="3:16">
      <c r="C20" s="440"/>
      <c r="D20" s="444" t="s">
        <v>148</v>
      </c>
      <c r="E20" s="444" t="s">
        <v>147</v>
      </c>
      <c r="F20" s="445" t="s">
        <v>255</v>
      </c>
      <c r="G20" s="438"/>
      <c r="H20" s="440"/>
      <c r="I20" s="440"/>
      <c r="J20" s="440"/>
    </row>
    <row r="21" spans="3:16" ht="13.5" thickBot="1">
      <c r="C21" s="446" t="s">
        <v>259</v>
      </c>
      <c r="D21" s="447">
        <f>TCOS!H271</f>
        <v>0.5412227773367958</v>
      </c>
      <c r="E21" s="447">
        <f>TCOS!J271</f>
        <v>5.5852120811229429E-2</v>
      </c>
      <c r="F21" s="448">
        <f>E21*D21</f>
        <v>3.0228439945603845E-2</v>
      </c>
      <c r="G21" s="438"/>
      <c r="H21" s="440"/>
      <c r="I21" s="449"/>
      <c r="J21" s="449"/>
      <c r="K21" s="208"/>
      <c r="L21" s="208"/>
      <c r="M21" s="208"/>
      <c r="N21" s="208"/>
      <c r="O21" s="208"/>
    </row>
    <row r="22" spans="3:16">
      <c r="C22" s="446" t="s">
        <v>260</v>
      </c>
      <c r="D22" s="447">
        <f>TCOS!H272</f>
        <v>0</v>
      </c>
      <c r="E22" s="447">
        <f>TCOS!J272</f>
        <v>0</v>
      </c>
      <c r="F22" s="448">
        <f>E22*D22</f>
        <v>0</v>
      </c>
      <c r="G22" s="450"/>
      <c r="H22" s="450"/>
      <c r="I22" s="451"/>
      <c r="J22" s="451"/>
      <c r="K22" s="1252" t="s">
        <v>453</v>
      </c>
      <c r="L22" s="1253"/>
      <c r="M22" s="1253"/>
      <c r="N22" s="1253"/>
      <c r="O22" s="1254"/>
      <c r="P22" s="451"/>
    </row>
    <row r="23" spans="3:16">
      <c r="C23" s="446" t="s">
        <v>246</v>
      </c>
      <c r="D23" s="447">
        <f>TCOS!H273</f>
        <v>0.45877722266320414</v>
      </c>
      <c r="E23" s="447">
        <f>+F18</f>
        <v>0.10349999999999999</v>
      </c>
      <c r="F23" s="452">
        <f>E23*D23</f>
        <v>4.748344254564163E-2</v>
      </c>
      <c r="G23" s="450"/>
      <c r="H23" s="450"/>
      <c r="I23" s="451"/>
      <c r="J23" s="451"/>
      <c r="K23" s="1255"/>
      <c r="L23" s="1256"/>
      <c r="M23" s="1256"/>
      <c r="N23" s="1256"/>
      <c r="O23" s="1257"/>
      <c r="P23" s="451"/>
    </row>
    <row r="24" spans="3:16">
      <c r="C24" s="437"/>
      <c r="D24"/>
      <c r="E24" s="453" t="s">
        <v>262</v>
      </c>
      <c r="F24" s="448">
        <f>SUM(F21:F23)</f>
        <v>7.7711882491245471E-2</v>
      </c>
      <c r="G24" s="450"/>
      <c r="H24" s="450"/>
      <c r="I24" s="451"/>
      <c r="J24" s="451"/>
      <c r="K24" s="454"/>
      <c r="L24" s="455"/>
      <c r="M24" s="456" t="s">
        <v>256</v>
      </c>
      <c r="N24" s="456" t="s">
        <v>257</v>
      </c>
      <c r="O24" s="457" t="s">
        <v>258</v>
      </c>
      <c r="P24" s="451"/>
    </row>
    <row r="25" spans="3:16">
      <c r="C25" s="4"/>
      <c r="D25" s="458"/>
      <c r="E25" s="458"/>
      <c r="F25" s="450"/>
      <c r="G25" s="450"/>
      <c r="H25" s="450"/>
      <c r="I25" s="450"/>
      <c r="J25" s="450"/>
      <c r="K25" s="459"/>
      <c r="L25" s="208"/>
      <c r="M25" s="208"/>
      <c r="N25" s="208"/>
      <c r="O25" s="460"/>
      <c r="P25" s="450"/>
    </row>
    <row r="26" spans="3:16" ht="16.5" thickBot="1">
      <c r="C26" s="436" t="str">
        <f>"B.   Determine Return using 'R' with hypothetical "&amp;F17&amp;" basis point ROE increase for Identified Projects."</f>
        <v>B.   Determine Return using 'R' with hypothetical  basis point ROE increase for Identified Projects.</v>
      </c>
      <c r="D26" s="458"/>
      <c r="E26" s="458"/>
      <c r="F26" s="450"/>
      <c r="G26" s="450"/>
      <c r="H26" s="438"/>
      <c r="I26" s="450"/>
      <c r="J26" s="450"/>
      <c r="K26" s="461" t="s">
        <v>263</v>
      </c>
      <c r="L26" s="462">
        <f>TCOS!L4</f>
        <v>2025</v>
      </c>
      <c r="M26" s="667">
        <v>0</v>
      </c>
      <c r="N26" s="667">
        <v>0</v>
      </c>
      <c r="O26" s="463">
        <f>+N26-M26</f>
        <v>0</v>
      </c>
      <c r="P26" s="450"/>
    </row>
    <row r="27" spans="3:16">
      <c r="C27" s="440"/>
      <c r="D27" s="458"/>
      <c r="E27" s="458"/>
      <c r="F27" s="450"/>
      <c r="G27" s="450"/>
      <c r="H27" s="450"/>
      <c r="I27" s="450"/>
      <c r="J27" s="450"/>
      <c r="K27" s="464"/>
      <c r="L27" s="464"/>
      <c r="M27" s="464"/>
      <c r="N27" s="464"/>
      <c r="O27" s="464"/>
      <c r="P27" s="450"/>
    </row>
    <row r="28" spans="3:16">
      <c r="C28" s="465" t="str">
        <f>"   Rate Base  (TCOS, ln "&amp;TCOS!B131&amp;")"</f>
        <v xml:space="preserve">   Rate Base  (TCOS, ln 68)</v>
      </c>
      <c r="D28" s="438"/>
      <c r="F28" s="466">
        <f>TCOS!L131</f>
        <v>597074925.00576842</v>
      </c>
      <c r="G28" s="450"/>
      <c r="H28" s="450"/>
      <c r="I28" s="450"/>
      <c r="J28" s="450"/>
      <c r="K28" s="464"/>
      <c r="L28" s="464"/>
      <c r="M28" s="464"/>
      <c r="N28" s="464"/>
      <c r="O28" s="467"/>
      <c r="P28" s="450"/>
    </row>
    <row r="29" spans="3:16">
      <c r="C29" s="440" t="s">
        <v>476</v>
      </c>
      <c r="D29" s="468"/>
      <c r="F29" s="448">
        <f>F24</f>
        <v>7.7711882491245471E-2</v>
      </c>
      <c r="G29" s="450"/>
      <c r="H29" s="450"/>
      <c r="I29" s="450"/>
      <c r="J29" s="450"/>
      <c r="K29" s="450"/>
      <c r="L29" s="450"/>
      <c r="M29" s="450"/>
      <c r="N29" s="450"/>
      <c r="O29" s="450"/>
      <c r="P29" s="450"/>
    </row>
    <row r="30" spans="3:16">
      <c r="C30" s="469" t="s">
        <v>264</v>
      </c>
      <c r="D30" s="469"/>
      <c r="F30" s="451">
        <f>F28*F29</f>
        <v>46399816.410517476</v>
      </c>
      <c r="G30" s="450"/>
      <c r="H30" s="450"/>
      <c r="I30" s="451"/>
      <c r="J30" s="451"/>
      <c r="K30" s="451"/>
      <c r="L30" s="451"/>
      <c r="M30" s="451"/>
      <c r="N30" s="451"/>
      <c r="O30" s="450"/>
      <c r="P30" s="451"/>
    </row>
    <row r="31" spans="3:16">
      <c r="C31" s="469"/>
      <c r="D31" s="440"/>
      <c r="E31" s="440"/>
      <c r="F31" s="450"/>
      <c r="G31" s="450"/>
      <c r="H31" s="450"/>
      <c r="I31" s="451"/>
      <c r="J31" s="451"/>
      <c r="K31" s="451"/>
      <c r="L31" s="451"/>
      <c r="M31" s="451"/>
      <c r="N31" s="451"/>
      <c r="O31" s="450"/>
      <c r="P31" s="451"/>
    </row>
    <row r="32" spans="3:16" ht="15.75">
      <c r="C32" s="436" t="str">
        <f>"C.   Determine Income Taxes using Return with hypothetical "&amp;F17&amp;" basis point ROE increase for Identified Projects."</f>
        <v>C.   Determine Income Taxes using Return with hypothetical  basis point ROE increase for Identified Projects.</v>
      </c>
      <c r="D32" s="470"/>
      <c r="E32" s="470"/>
      <c r="F32" s="471"/>
      <c r="G32" s="471"/>
      <c r="H32" s="471"/>
      <c r="I32" s="472"/>
      <c r="J32" s="472"/>
      <c r="K32" s="472"/>
      <c r="L32" s="472"/>
      <c r="M32" s="472"/>
      <c r="N32" s="472"/>
      <c r="O32" s="471"/>
      <c r="P32" s="472"/>
    </row>
    <row r="33" spans="2:16">
      <c r="C33" s="437"/>
      <c r="D33" s="440"/>
      <c r="E33" s="440"/>
      <c r="F33" s="450"/>
      <c r="G33" s="450"/>
      <c r="H33" s="450"/>
      <c r="I33" s="451"/>
      <c r="J33" s="451"/>
      <c r="K33" s="451"/>
      <c r="L33" s="451"/>
      <c r="M33" s="451"/>
      <c r="N33" s="451"/>
      <c r="O33" s="450"/>
      <c r="P33" s="451"/>
    </row>
    <row r="34" spans="2:16">
      <c r="C34" s="440" t="s">
        <v>265</v>
      </c>
      <c r="D34" s="453"/>
      <c r="F34" s="473">
        <f>F30</f>
        <v>46399816.410517476</v>
      </c>
      <c r="G34" s="450"/>
      <c r="H34" s="450"/>
      <c r="I34" s="450"/>
      <c r="J34" s="450"/>
      <c r="K34" s="450"/>
      <c r="L34" s="450"/>
      <c r="M34" s="450"/>
      <c r="N34" s="450"/>
      <c r="O34" s="450"/>
      <c r="P34" s="450"/>
    </row>
    <row r="35" spans="2:16">
      <c r="C35" s="465" t="str">
        <f>"   Effective Tax Rate  (TCOS, ln "&amp;TCOS!B198&amp;")"</f>
        <v xml:space="preserve">   Effective Tax Rate  (TCOS, ln 114)</v>
      </c>
      <c r="D35" s="81"/>
      <c r="F35" s="83">
        <f>TCOS!G198</f>
        <v>0.20254620449971361</v>
      </c>
      <c r="G35" s="4"/>
      <c r="H35" s="474"/>
      <c r="I35" s="4"/>
      <c r="J35" s="4"/>
      <c r="K35" s="4"/>
      <c r="L35" s="4"/>
      <c r="M35" s="4"/>
      <c r="N35" s="4"/>
      <c r="O35" s="4"/>
    </row>
    <row r="36" spans="2:16">
      <c r="C36" s="469" t="s">
        <v>266</v>
      </c>
      <c r="D36" s="81"/>
      <c r="F36" s="475">
        <f>F34*F35</f>
        <v>9398106.7034338396</v>
      </c>
      <c r="G36" s="4"/>
      <c r="H36" s="474"/>
      <c r="I36" s="4"/>
      <c r="J36" s="4"/>
      <c r="K36" s="4"/>
      <c r="L36" s="4"/>
      <c r="M36" s="4"/>
      <c r="N36" s="4"/>
      <c r="O36" s="4"/>
    </row>
    <row r="37" spans="2:16" ht="15">
      <c r="C37" s="437" t="s">
        <v>304</v>
      </c>
      <c r="D37" s="272"/>
      <c r="F37" s="450">
        <f>TCOS!L207</f>
        <v>0</v>
      </c>
      <c r="G37" s="272"/>
      <c r="H37" s="272"/>
      <c r="I37" s="272"/>
      <c r="J37" s="272"/>
      <c r="K37" s="272"/>
      <c r="L37" s="272"/>
      <c r="M37" s="272"/>
      <c r="N37" s="272"/>
      <c r="O37" s="286"/>
      <c r="P37" s="272"/>
    </row>
    <row r="38" spans="2:16" ht="15">
      <c r="C38" s="437" t="s">
        <v>534</v>
      </c>
      <c r="D38" s="272"/>
      <c r="F38" s="450">
        <f>TCOS!L208</f>
        <v>-1478641.6958824187</v>
      </c>
      <c r="G38" s="272"/>
      <c r="H38" s="272"/>
      <c r="I38" s="272"/>
      <c r="J38" s="272"/>
      <c r="K38" s="272"/>
      <c r="L38" s="272"/>
      <c r="M38" s="272"/>
      <c r="N38" s="272"/>
      <c r="O38" s="286"/>
      <c r="P38" s="272"/>
    </row>
    <row r="39" spans="2:16" ht="15">
      <c r="C39" s="437" t="s">
        <v>535</v>
      </c>
      <c r="D39" s="272"/>
      <c r="F39" s="476">
        <f>TCOS!L209</f>
        <v>823201.45864379755</v>
      </c>
      <c r="G39" s="272"/>
      <c r="H39" s="272"/>
      <c r="I39" s="272"/>
      <c r="J39" s="272"/>
      <c r="K39" s="272"/>
      <c r="L39" s="272"/>
      <c r="M39" s="272"/>
      <c r="N39" s="272"/>
      <c r="O39" s="286"/>
      <c r="P39" s="272"/>
    </row>
    <row r="40" spans="2:16" ht="15">
      <c r="C40" s="469" t="s">
        <v>267</v>
      </c>
      <c r="D40" s="272"/>
      <c r="F40" s="450">
        <f>F36+F37+F38+F39</f>
        <v>8742666.4661952183</v>
      </c>
      <c r="G40" s="272"/>
      <c r="H40" s="272"/>
      <c r="I40" s="272"/>
      <c r="J40" s="272"/>
      <c r="K40" s="272"/>
      <c r="L40" s="272"/>
      <c r="M40" s="272"/>
      <c r="N40" s="272"/>
      <c r="O40" s="285"/>
      <c r="P40" s="272"/>
    </row>
    <row r="41" spans="2:16" ht="12.75" customHeight="1">
      <c r="C41" s="269"/>
      <c r="D41" s="272"/>
      <c r="E41" s="272"/>
      <c r="F41" s="272"/>
      <c r="G41" s="272"/>
      <c r="H41" s="272"/>
      <c r="I41" s="272"/>
      <c r="J41" s="272"/>
      <c r="K41" s="272"/>
      <c r="L41" s="272"/>
      <c r="M41" s="272"/>
      <c r="N41" s="272"/>
      <c r="O41" s="285"/>
      <c r="P41" s="272"/>
    </row>
    <row r="42" spans="2:16" ht="18.75">
      <c r="B42" s="435" t="s">
        <v>174</v>
      </c>
      <c r="C42" s="13" t="str">
        <f>"Calculate Net Plant Carrying Charge Rate (Fixed Charge Rate or FCR) with hypothetical "&amp;F17&amp;""</f>
        <v xml:space="preserve">Calculate Net Plant Carrying Charge Rate (Fixed Charge Rate or FCR) with hypothetical </v>
      </c>
      <c r="D42" s="272"/>
      <c r="E42" s="272"/>
      <c r="F42" s="272"/>
      <c r="G42" s="272"/>
      <c r="H42" s="272"/>
      <c r="I42" s="272"/>
      <c r="J42" s="272"/>
      <c r="K42" s="272"/>
      <c r="L42" s="272"/>
      <c r="M42" s="272"/>
      <c r="N42" s="272"/>
      <c r="O42" s="285"/>
      <c r="P42" s="272"/>
    </row>
    <row r="43" spans="2:16" ht="18.75" customHeight="1">
      <c r="C43" s="13" t="str">
        <f>"basis point ROE increase."</f>
        <v>basis point ROE increase.</v>
      </c>
      <c r="D43" s="272"/>
      <c r="E43" s="272"/>
      <c r="F43" s="272"/>
      <c r="G43" s="272"/>
      <c r="H43" s="272"/>
      <c r="I43" s="272"/>
      <c r="J43" s="272"/>
      <c r="K43" s="272"/>
      <c r="L43" s="272"/>
      <c r="M43" s="272"/>
      <c r="N43" s="272"/>
      <c r="O43" s="285"/>
      <c r="P43" s="272"/>
    </row>
    <row r="44" spans="2:16" ht="12.75" customHeight="1">
      <c r="C44" s="13"/>
      <c r="D44" s="272"/>
      <c r="E44" s="272"/>
      <c r="F44" s="272"/>
      <c r="G44" s="272"/>
      <c r="H44" s="272"/>
      <c r="I44" s="272"/>
      <c r="J44" s="272"/>
      <c r="K44" s="272"/>
      <c r="L44" s="272"/>
      <c r="M44" s="272"/>
      <c r="N44" s="272"/>
      <c r="O44" s="285"/>
      <c r="P44" s="272"/>
    </row>
    <row r="45" spans="2:16" ht="15.75">
      <c r="C45" s="436" t="s">
        <v>467</v>
      </c>
      <c r="D45" s="272"/>
      <c r="E45" s="272"/>
      <c r="F45" s="269"/>
      <c r="G45" s="272"/>
      <c r="H45" s="272"/>
      <c r="I45" s="272"/>
      <c r="J45" s="272"/>
      <c r="K45" s="272"/>
      <c r="L45" s="272"/>
      <c r="M45" s="272"/>
      <c r="N45" s="272"/>
      <c r="O45" s="285"/>
      <c r="P45" s="272"/>
    </row>
    <row r="46" spans="2:16">
      <c r="B46" s="4"/>
      <c r="C46" s="437"/>
      <c r="D46" s="438"/>
      <c r="E46" s="438"/>
      <c r="F46" s="438"/>
      <c r="G46" s="438"/>
      <c r="H46" s="438"/>
      <c r="I46" s="438"/>
      <c r="J46" s="438"/>
      <c r="K46" s="438"/>
      <c r="L46" s="438"/>
      <c r="M46" s="438"/>
      <c r="N46" s="438"/>
      <c r="O46" s="450"/>
      <c r="P46" s="438"/>
    </row>
    <row r="47" spans="2:16" ht="12.75" customHeight="1">
      <c r="B47" s="4"/>
      <c r="C47" s="465" t="str">
        <f>"   Annual Revenue Requirement  (TCOS, ln "&amp;TCOS!B13&amp;")"</f>
        <v xml:space="preserve">   Annual Revenue Requirement  (TCOS, ln 1)</v>
      </c>
      <c r="D47" s="438"/>
      <c r="E47" s="438"/>
      <c r="G47" s="450">
        <f>TCOS!L13</f>
        <v>102311133.91517593</v>
      </c>
      <c r="H47" s="438"/>
      <c r="I47" s="438"/>
      <c r="J47" s="438"/>
      <c r="K47" s="438"/>
      <c r="L47" s="438"/>
      <c r="M47" s="438"/>
      <c r="N47" s="438"/>
      <c r="O47" s="450"/>
      <c r="P47" s="438"/>
    </row>
    <row r="48" spans="2:16" ht="12.75" customHeight="1">
      <c r="B48" s="4"/>
      <c r="C48" s="465" t="str">
        <f>"   Lease Payments (TCOS, Ln "&amp;TCOS!B175&amp;")"</f>
        <v xml:space="preserve">   Lease Payments (TCOS, Ln 95)</v>
      </c>
      <c r="D48" s="438"/>
      <c r="E48" s="438"/>
      <c r="G48" s="450">
        <f>TCOS!L175</f>
        <v>0</v>
      </c>
      <c r="H48" s="438"/>
      <c r="I48" s="438"/>
      <c r="J48" s="438"/>
      <c r="K48" s="438"/>
      <c r="L48" s="438"/>
      <c r="M48" s="438"/>
      <c r="N48" s="438"/>
      <c r="O48" s="450"/>
      <c r="P48" s="438"/>
    </row>
    <row r="49" spans="2:16">
      <c r="B49" s="4"/>
      <c r="C49" s="465" t="str">
        <f>"   Return  (TCOS, ln "&amp;TCOS!B213&amp;")"</f>
        <v xml:space="preserve">   Return  (TCOS, ln 126)</v>
      </c>
      <c r="D49" s="438"/>
      <c r="E49" s="438"/>
      <c r="G49" s="451">
        <f>TCOS!L213</f>
        <v>46399816.410517476</v>
      </c>
      <c r="H49" s="437"/>
      <c r="I49" s="437"/>
      <c r="J49" s="437"/>
      <c r="K49" s="437"/>
      <c r="L49" s="437"/>
      <c r="M49" s="437"/>
      <c r="N49" s="437"/>
      <c r="O49" s="450"/>
      <c r="P49" s="437"/>
    </row>
    <row r="50" spans="2:16">
      <c r="B50" s="4"/>
      <c r="C50" s="465" t="str">
        <f>"   Income Taxes  (TCOS, ln "&amp;TCOS!B211&amp;")"</f>
        <v xml:space="preserve">   Income Taxes  (TCOS, ln 125)</v>
      </c>
      <c r="D50" s="438"/>
      <c r="E50" s="438"/>
      <c r="G50" s="477">
        <f>TCOS!L211</f>
        <v>8742666.4661952183</v>
      </c>
      <c r="H50" s="438"/>
      <c r="I50" s="478"/>
      <c r="J50" s="478"/>
      <c r="K50" s="478"/>
      <c r="L50" s="478"/>
      <c r="M50" s="478"/>
      <c r="N50" s="478"/>
      <c r="O50" s="438"/>
      <c r="P50" s="478"/>
    </row>
    <row r="51" spans="2:16">
      <c r="B51" s="4"/>
      <c r="C51" s="4" t="s">
        <v>591</v>
      </c>
      <c r="D51" s="438"/>
      <c r="E51" s="438"/>
      <c r="G51" s="451">
        <f>G47-G49-G50-G48</f>
        <v>47168651.038463235</v>
      </c>
      <c r="H51" s="438"/>
      <c r="I51" s="479"/>
      <c r="J51" s="479"/>
      <c r="K51" s="479"/>
      <c r="L51" s="479"/>
      <c r="M51" s="479"/>
      <c r="N51" s="479"/>
      <c r="O51" s="479"/>
      <c r="P51" s="479"/>
    </row>
    <row r="52" spans="2:16">
      <c r="B52" s="4"/>
      <c r="C52" s="437"/>
      <c r="D52" s="438"/>
      <c r="E52" s="438"/>
      <c r="F52" s="450"/>
      <c r="G52" s="480"/>
      <c r="H52" s="481"/>
      <c r="I52" s="481"/>
      <c r="J52" s="481"/>
      <c r="K52" s="481"/>
      <c r="L52" s="481"/>
      <c r="M52" s="481"/>
      <c r="N52" s="481"/>
      <c r="O52" s="481"/>
      <c r="P52" s="481"/>
    </row>
    <row r="53" spans="2:16" ht="15.75">
      <c r="B53" s="4"/>
      <c r="C53" s="436" t="str">
        <f>"B.   Determine Annual Revenue Requirement with hypothetical "&amp;F17&amp;" basis point increase in ROE."</f>
        <v>B.   Determine Annual Revenue Requirement with hypothetical  basis point increase in ROE.</v>
      </c>
      <c r="D53" s="440"/>
      <c r="E53" s="440"/>
      <c r="F53" s="450"/>
      <c r="G53" s="480"/>
      <c r="H53" s="481"/>
      <c r="I53" s="481"/>
      <c r="J53" s="481"/>
      <c r="K53" s="481"/>
      <c r="L53" s="481"/>
      <c r="M53" s="481"/>
      <c r="N53" s="481"/>
      <c r="O53" s="481"/>
      <c r="P53" s="481"/>
    </row>
    <row r="54" spans="2:16">
      <c r="B54" s="4"/>
      <c r="C54" s="437"/>
      <c r="D54" s="440"/>
      <c r="E54" s="440"/>
      <c r="F54" s="450"/>
      <c r="G54" s="480"/>
      <c r="H54" s="481"/>
      <c r="I54" s="481"/>
      <c r="J54" s="481"/>
      <c r="K54" s="481"/>
      <c r="L54" s="481"/>
      <c r="M54" s="481"/>
      <c r="N54" s="481"/>
      <c r="O54" s="481"/>
      <c r="P54" s="481"/>
    </row>
    <row r="55" spans="2:16">
      <c r="B55" s="4"/>
      <c r="C55" s="437" t="str">
        <f>C51</f>
        <v xml:space="preserve">   Annual Revenue Requirement, Less Lease Payments, Return and Taxes</v>
      </c>
      <c r="D55" s="440"/>
      <c r="E55" s="440"/>
      <c r="G55" s="450">
        <f>G51</f>
        <v>47168651.038463235</v>
      </c>
      <c r="H55" s="438"/>
      <c r="I55" s="438"/>
      <c r="J55" s="438"/>
      <c r="K55" s="438"/>
      <c r="L55" s="438"/>
      <c r="M55" s="438"/>
      <c r="N55" s="438"/>
      <c r="O55" s="482"/>
      <c r="P55" s="438"/>
    </row>
    <row r="56" spans="2:16">
      <c r="B56" s="4"/>
      <c r="C56" s="440" t="s">
        <v>301</v>
      </c>
      <c r="D56" s="81"/>
      <c r="E56" s="4"/>
      <c r="G56" s="475">
        <f>F30</f>
        <v>46399816.410517476</v>
      </c>
      <c r="H56" s="483"/>
      <c r="I56" s="4"/>
      <c r="J56" s="4"/>
      <c r="K56" s="4"/>
      <c r="L56" s="4"/>
      <c r="M56" s="4"/>
      <c r="N56" s="4"/>
      <c r="O56" s="4"/>
    </row>
    <row r="57" spans="2:16" ht="12.75" customHeight="1">
      <c r="B57" s="4"/>
      <c r="C57" s="437" t="s">
        <v>268</v>
      </c>
      <c r="D57" s="438"/>
      <c r="E57" s="438"/>
      <c r="G57" s="477">
        <f>F40</f>
        <v>8742666.4661952183</v>
      </c>
      <c r="H57" s="474"/>
      <c r="I57" s="4"/>
      <c r="J57" s="4"/>
      <c r="K57" s="4"/>
      <c r="L57" s="4"/>
      <c r="M57" s="4"/>
      <c r="N57" s="4"/>
      <c r="O57" s="4"/>
    </row>
    <row r="58" spans="2:16">
      <c r="B58" s="4"/>
      <c r="C58" s="4" t="str">
        <f>"   Annual Revenue Requirement, with "&amp;F17&amp;" Basis Point ROE increase"</f>
        <v xml:space="preserve">   Annual Revenue Requirement, with  Basis Point ROE increase</v>
      </c>
      <c r="D58" s="81"/>
      <c r="E58" s="4"/>
      <c r="G58" s="475">
        <f>SUM(G55:G57)</f>
        <v>102311133.91517594</v>
      </c>
      <c r="H58" s="474"/>
      <c r="I58" s="4"/>
      <c r="J58" s="4"/>
      <c r="K58" s="4"/>
      <c r="L58" s="4"/>
      <c r="M58" s="4"/>
      <c r="N58" s="4"/>
      <c r="O58" s="4"/>
    </row>
    <row r="59" spans="2:16">
      <c r="B59" s="4"/>
      <c r="C59" s="465" t="str">
        <f>"   Depreciation  (TCOS, ln "&amp;TCOS!B181&amp;")"</f>
        <v xml:space="preserve">   Depreciation  (TCOS, ln 100)</v>
      </c>
      <c r="D59" s="81"/>
      <c r="E59" s="4"/>
      <c r="G59" s="484">
        <f>TCOS!L181</f>
        <v>26781658.596526738</v>
      </c>
      <c r="H59" s="474"/>
      <c r="I59" s="4"/>
      <c r="J59" s="4"/>
      <c r="K59" s="4"/>
      <c r="L59" s="4"/>
      <c r="M59" s="4"/>
      <c r="N59" s="4"/>
      <c r="O59" s="4"/>
    </row>
    <row r="60" spans="2:16">
      <c r="B60" s="4"/>
      <c r="C60" s="4" t="str">
        <f>"   Annual Rev. Req, w/"&amp;F17&amp;" Basis Point ROE increase, less Depreciation"</f>
        <v xml:space="preserve">   Annual Rev. Req, w/ Basis Point ROE increase, less Depreciation</v>
      </c>
      <c r="D60" s="81"/>
      <c r="E60" s="4"/>
      <c r="G60" s="475">
        <f>G58-G59</f>
        <v>75529475.318649203</v>
      </c>
      <c r="H60" s="474"/>
      <c r="I60" s="4"/>
      <c r="J60" s="4"/>
      <c r="K60" s="4"/>
      <c r="L60" s="4"/>
      <c r="M60" s="4"/>
      <c r="N60" s="4"/>
      <c r="O60" s="4"/>
    </row>
    <row r="61" spans="2:16">
      <c r="B61" s="4"/>
      <c r="C61" s="4"/>
      <c r="D61" s="81"/>
      <c r="E61" s="4"/>
      <c r="F61" s="4"/>
      <c r="G61" s="4"/>
      <c r="H61" s="474"/>
      <c r="I61" s="4"/>
      <c r="J61" s="4"/>
      <c r="K61" s="4"/>
      <c r="L61" s="4"/>
      <c r="M61" s="4"/>
      <c r="N61" s="4"/>
      <c r="O61" s="4"/>
    </row>
    <row r="62" spans="2:16" ht="15.75">
      <c r="B62" s="4"/>
      <c r="C62" s="436" t="str">
        <f>"C.   Determine FCR with hypothetical "&amp;F17&amp;" basis point ROE increase."</f>
        <v>C.   Determine FCR with hypothetical  basis point ROE increase.</v>
      </c>
      <c r="D62" s="81"/>
      <c r="E62" s="4"/>
      <c r="F62" s="4"/>
      <c r="G62" s="4"/>
      <c r="H62" s="474"/>
      <c r="I62" s="4"/>
      <c r="J62" s="4"/>
      <c r="K62" s="4"/>
      <c r="L62" s="4"/>
      <c r="M62" s="4"/>
      <c r="N62" s="4"/>
      <c r="O62" s="4"/>
    </row>
    <row r="63" spans="2:16">
      <c r="B63" s="4"/>
      <c r="C63" s="4"/>
      <c r="D63" s="81"/>
      <c r="E63" s="4"/>
      <c r="F63" s="4"/>
      <c r="G63" s="4"/>
      <c r="H63" s="474"/>
      <c r="I63" s="4"/>
      <c r="J63" s="4"/>
      <c r="K63" s="4"/>
      <c r="L63" s="4"/>
      <c r="M63" s="4"/>
      <c r="N63" s="4"/>
      <c r="O63" s="4"/>
    </row>
    <row r="64" spans="2:16">
      <c r="B64" s="4"/>
      <c r="C64" s="465" t="str">
        <f>"   Net Transmission Plant  (TCOS, ln "&amp;TCOS!B95&amp;")"</f>
        <v xml:space="preserve">   Net Transmission Plant  (TCOS, ln 42)</v>
      </c>
      <c r="D64" s="81"/>
      <c r="E64" s="4"/>
      <c r="G64" s="475">
        <f>TCOS!L95</f>
        <v>658899108.01153851</v>
      </c>
      <c r="H64" s="485"/>
      <c r="I64" s="4"/>
      <c r="J64" s="4"/>
      <c r="K64" s="4"/>
      <c r="L64" s="4"/>
      <c r="M64" s="4"/>
      <c r="N64" s="4"/>
      <c r="O64" s="4"/>
    </row>
    <row r="65" spans="2:15">
      <c r="B65" s="4"/>
      <c r="C65" s="4" t="str">
        <f>"   Annual Revenue Requirement, with "&amp;F17&amp;" Basis Point ROE increase"</f>
        <v xml:space="preserve">   Annual Revenue Requirement, with  Basis Point ROE increase</v>
      </c>
      <c r="D65" s="81"/>
      <c r="E65" s="4"/>
      <c r="G65" s="475">
        <f>G58</f>
        <v>102311133.91517594</v>
      </c>
      <c r="H65" s="474"/>
      <c r="I65" s="4"/>
      <c r="J65" s="4"/>
      <c r="K65" s="4"/>
      <c r="L65" s="4"/>
      <c r="M65" s="4"/>
      <c r="N65" s="4"/>
      <c r="O65" s="4"/>
    </row>
    <row r="66" spans="2:15">
      <c r="B66" s="4"/>
      <c r="C66" s="4" t="str">
        <f>"   FCR with "&amp;F17&amp;" Basis Point increase in ROE"</f>
        <v xml:space="preserve">   FCR with  Basis Point increase in ROE</v>
      </c>
      <c r="D66" s="81"/>
      <c r="E66" s="4"/>
      <c r="G66" s="83">
        <f>G65/G64</f>
        <v>0.15527587254433542</v>
      </c>
      <c r="H66" s="474"/>
      <c r="I66" s="4"/>
      <c r="J66" s="4"/>
      <c r="K66" s="4"/>
      <c r="L66" s="4"/>
      <c r="M66" s="4"/>
      <c r="N66" s="4"/>
      <c r="O66" s="4"/>
    </row>
    <row r="67" spans="2:15">
      <c r="B67" s="4"/>
      <c r="C67" s="72"/>
      <c r="D67" s="81"/>
      <c r="E67" s="4"/>
      <c r="G67" s="4"/>
      <c r="H67" s="474"/>
      <c r="I67" s="4"/>
      <c r="J67" s="4"/>
      <c r="K67" s="4"/>
      <c r="L67" s="4"/>
      <c r="M67" s="4"/>
      <c r="N67" s="4"/>
      <c r="O67" s="4"/>
    </row>
    <row r="68" spans="2:15">
      <c r="B68" s="4"/>
      <c r="C68" s="4" t="str">
        <f>"   Annual Rev. Req, w / "&amp;F17&amp;" Basis Point ROE increase, less Dep."</f>
        <v xml:space="preserve">   Annual Rev. Req, w /  Basis Point ROE increase, less Dep.</v>
      </c>
      <c r="D68" s="81"/>
      <c r="E68" s="4"/>
      <c r="G68" s="475">
        <f>G60</f>
        <v>75529475.318649203</v>
      </c>
      <c r="H68" s="474"/>
      <c r="I68" s="4"/>
      <c r="J68" s="4"/>
      <c r="K68" s="4"/>
      <c r="L68" s="4"/>
      <c r="M68" s="4"/>
      <c r="N68" s="4"/>
      <c r="O68" s="4"/>
    </row>
    <row r="69" spans="2:15">
      <c r="B69" s="4"/>
      <c r="C69" s="4" t="str">
        <f>"   FCR with "&amp;F17&amp;" Basis Point ROE increase, less Depreciation"</f>
        <v xml:space="preserve">   FCR with  Basis Point ROE increase, less Depreciation</v>
      </c>
      <c r="D69" s="81"/>
      <c r="E69" s="4"/>
      <c r="G69" s="83">
        <f>G68/G64</f>
        <v>0.11462980356216622</v>
      </c>
      <c r="H69" s="474"/>
      <c r="I69" s="4"/>
      <c r="J69" s="4"/>
      <c r="K69" s="4"/>
      <c r="L69" s="4"/>
      <c r="M69" s="4"/>
      <c r="N69" s="4"/>
      <c r="O69" s="4"/>
    </row>
    <row r="70" spans="2:15">
      <c r="B70" s="4"/>
      <c r="C70" s="465" t="str">
        <f>"   FCR less Depreciation  (TCOS, ln "&amp;TCOS!B34&amp;")"</f>
        <v xml:space="preserve">   FCR less Depreciation  (TCOS, ln 10)</v>
      </c>
      <c r="D70" s="81"/>
      <c r="E70" s="4"/>
      <c r="G70" s="486">
        <f>TCOS!L34</f>
        <v>0.1146298035621662</v>
      </c>
      <c r="H70" s="474"/>
      <c r="I70" s="4"/>
      <c r="J70" s="4"/>
      <c r="K70" s="4"/>
      <c r="L70" s="4"/>
      <c r="M70" s="4"/>
      <c r="N70" s="4"/>
      <c r="O70" s="4"/>
    </row>
    <row r="71" spans="2:15">
      <c r="B71" s="4"/>
      <c r="C71" s="4" t="str">
        <f>"   Incremental FCR with "&amp;F17&amp;" Basis Point ROE increase, less Depreciation"</f>
        <v xml:space="preserve">   Incremental FCR with  Basis Point ROE increase, less Depreciation</v>
      </c>
      <c r="D71" s="81"/>
      <c r="E71" s="4"/>
      <c r="G71" s="83">
        <f>G69-G70</f>
        <v>0</v>
      </c>
      <c r="H71" s="474"/>
      <c r="I71" s="4"/>
      <c r="J71" s="4"/>
      <c r="K71" s="4"/>
      <c r="L71" s="4"/>
      <c r="M71" s="4"/>
      <c r="N71" s="4"/>
      <c r="O71" s="4"/>
    </row>
    <row r="72" spans="2:15">
      <c r="B72" s="4"/>
      <c r="C72" s="4"/>
      <c r="D72" s="81"/>
      <c r="E72" s="4"/>
      <c r="F72" s="83"/>
      <c r="G72" s="4"/>
      <c r="H72" s="474"/>
      <c r="I72" s="4"/>
      <c r="J72" s="4"/>
      <c r="K72" s="4"/>
      <c r="L72" s="4"/>
      <c r="M72" s="4"/>
      <c r="N72" s="4"/>
      <c r="O72" s="4"/>
    </row>
    <row r="73" spans="2:15" ht="18.75">
      <c r="B73" s="435" t="s">
        <v>175</v>
      </c>
      <c r="C73" s="13" t="s">
        <v>269</v>
      </c>
      <c r="D73" s="81"/>
      <c r="E73" s="4"/>
      <c r="F73" s="83"/>
      <c r="G73" s="4"/>
      <c r="H73" s="474"/>
      <c r="I73" s="4"/>
      <c r="J73" s="4"/>
      <c r="K73" s="4"/>
      <c r="L73" s="4"/>
      <c r="M73" s="4"/>
      <c r="N73" s="4"/>
      <c r="O73" s="4"/>
    </row>
    <row r="74" spans="2:15">
      <c r="B74" s="4"/>
      <c r="C74" s="4"/>
      <c r="D74" s="81"/>
      <c r="E74" s="4"/>
      <c r="F74" s="83"/>
      <c r="G74" s="4"/>
      <c r="H74" s="474"/>
      <c r="I74" s="4"/>
      <c r="J74" s="4"/>
      <c r="K74" s="4"/>
      <c r="L74" s="4"/>
      <c r="M74" s="4"/>
      <c r="N74" s="4"/>
      <c r="O74" s="4"/>
    </row>
    <row r="75" spans="2:15">
      <c r="B75" s="4"/>
      <c r="C75" s="4" t="str">
        <f>+"Average Transmission Plant Balance for "&amp;TCOS!L4&amp;" (TCOS, ln "&amp;TCOS!B68&amp;")"</f>
        <v>Average Transmission Plant Balance for 2025 (TCOS, ln 21)</v>
      </c>
      <c r="D75" s="81"/>
      <c r="G75" s="474">
        <f>TCOS!L68</f>
        <v>958176632.88076925</v>
      </c>
      <c r="I75" s="4"/>
      <c r="J75" s="4"/>
      <c r="K75" s="489"/>
      <c r="L75" s="4"/>
      <c r="M75" s="4"/>
      <c r="N75" s="4"/>
      <c r="O75" s="4"/>
    </row>
    <row r="76" spans="2:15">
      <c r="B76" s="4"/>
      <c r="C76" s="487" t="str">
        <f>"Annual Depreciation and Amortization Expense  (TCOS, ln "&amp;TCOS!B181&amp;")"</f>
        <v>Annual Depreciation and Amortization Expense  (TCOS, ln 100)</v>
      </c>
      <c r="D76" s="81"/>
      <c r="E76" s="4"/>
      <c r="G76" s="488">
        <f>TCOS!L181</f>
        <v>26781658.596526738</v>
      </c>
      <c r="H76" s="474"/>
      <c r="I76" s="4"/>
      <c r="J76" s="4"/>
      <c r="K76" s="4"/>
      <c r="L76" s="4"/>
      <c r="M76" s="4"/>
      <c r="N76" s="4"/>
      <c r="O76" s="4"/>
    </row>
    <row r="77" spans="2:15">
      <c r="B77" s="4"/>
      <c r="C77" s="4" t="s">
        <v>270</v>
      </c>
      <c r="D77" s="81"/>
      <c r="E77" s="4"/>
      <c r="G77" s="83">
        <f>+G76/G75</f>
        <v>2.7950648844365333E-2</v>
      </c>
      <c r="H77" s="490"/>
      <c r="I77" s="4"/>
      <c r="J77" s="4"/>
      <c r="K77" s="4"/>
      <c r="L77" s="4"/>
      <c r="M77" s="4"/>
      <c r="N77" s="4"/>
      <c r="O77" s="4"/>
    </row>
    <row r="78" spans="2:15">
      <c r="B78" s="4"/>
      <c r="C78" s="4" t="s">
        <v>271</v>
      </c>
      <c r="D78" s="81"/>
      <c r="E78" s="4"/>
      <c r="G78" s="490">
        <f>1/G77</f>
        <v>35.777344761053499</v>
      </c>
      <c r="H78" s="474"/>
      <c r="I78" s="4"/>
      <c r="J78" s="4"/>
      <c r="K78" s="4"/>
      <c r="L78" s="4"/>
      <c r="M78" s="4"/>
      <c r="N78" s="4"/>
      <c r="O78" s="4"/>
    </row>
    <row r="79" spans="2:15">
      <c r="B79" s="4"/>
      <c r="C79" s="4" t="s">
        <v>272</v>
      </c>
      <c r="D79" s="81"/>
      <c r="E79" s="4"/>
      <c r="G79" s="491">
        <f>ROUND(G78,0)</f>
        <v>36</v>
      </c>
      <c r="H79" s="474"/>
      <c r="I79" s="4"/>
      <c r="J79" s="4"/>
      <c r="K79" s="4"/>
      <c r="L79" s="4"/>
      <c r="M79" s="4"/>
      <c r="N79" s="4"/>
      <c r="O79" s="4"/>
    </row>
    <row r="80" spans="2:15">
      <c r="B80" s="4"/>
      <c r="C80" s="4"/>
      <c r="D80" s="81"/>
      <c r="E80" s="4"/>
      <c r="G80" s="491"/>
      <c r="H80" s="474"/>
      <c r="I80" s="4"/>
      <c r="J80" s="4"/>
      <c r="K80" s="4"/>
      <c r="L80" s="4"/>
      <c r="M80" s="4"/>
      <c r="N80" s="4"/>
      <c r="O80" s="4"/>
    </row>
    <row r="81" spans="1:16">
      <c r="C81" s="492"/>
      <c r="D81" s="491"/>
      <c r="E81" s="491"/>
      <c r="F81" s="491"/>
      <c r="G81" s="489"/>
      <c r="H81" s="489"/>
      <c r="I81" s="493"/>
      <c r="J81" s="493"/>
      <c r="K81" s="493"/>
      <c r="L81" s="493"/>
      <c r="M81" s="493"/>
      <c r="N81" s="493"/>
      <c r="O81" s="4"/>
      <c r="P81" s="493"/>
    </row>
    <row r="82" spans="1:16" ht="20.25">
      <c r="A82" s="433" t="s">
        <v>771</v>
      </c>
      <c r="B82" s="4"/>
      <c r="C82" s="4"/>
      <c r="D82" s="81"/>
      <c r="E82" s="4"/>
      <c r="F82" s="83"/>
      <c r="G82" s="4"/>
      <c r="H82" s="474"/>
      <c r="K82" s="11"/>
      <c r="L82" s="11"/>
      <c r="M82" s="11"/>
      <c r="N82" s="11" t="str">
        <f>"Page "&amp;SUM(P$8:P82)&amp;" of "</f>
        <v xml:space="preserve">Page 2 of </v>
      </c>
      <c r="O82" s="434">
        <f>COUNT(P$8:P$58715)</f>
        <v>2</v>
      </c>
      <c r="P82" s="487">
        <v>1</v>
      </c>
    </row>
    <row r="83" spans="1:16">
      <c r="B83" s="4"/>
      <c r="C83" s="4"/>
      <c r="D83" s="81"/>
      <c r="E83" s="4"/>
      <c r="F83" s="4"/>
      <c r="G83" s="4"/>
      <c r="H83" s="474"/>
      <c r="I83" s="4"/>
      <c r="J83" s="4"/>
      <c r="K83" s="4"/>
      <c r="L83" s="4"/>
      <c r="M83" s="4"/>
      <c r="N83" s="4"/>
      <c r="O83" s="4"/>
    </row>
    <row r="84" spans="1:16" ht="18">
      <c r="B84" s="435" t="s">
        <v>176</v>
      </c>
      <c r="C84" s="494" t="s">
        <v>292</v>
      </c>
      <c r="D84" s="81"/>
      <c r="E84" s="4"/>
      <c r="F84" s="4"/>
      <c r="G84" s="4"/>
      <c r="H84" s="474"/>
      <c r="I84" s="474"/>
      <c r="J84" s="489"/>
      <c r="K84" s="474"/>
      <c r="L84" s="474"/>
      <c r="M84" s="474"/>
      <c r="N84" s="474"/>
      <c r="O84" s="4"/>
      <c r="P84" s="489"/>
    </row>
    <row r="85" spans="1:16" ht="15" customHeight="1">
      <c r="B85" s="435"/>
      <c r="C85" s="13"/>
      <c r="D85" s="81"/>
      <c r="E85" s="4"/>
      <c r="F85" s="4"/>
      <c r="G85" s="4"/>
      <c r="H85" s="474"/>
      <c r="I85" s="474"/>
      <c r="J85" s="489"/>
      <c r="K85" s="474"/>
      <c r="L85" s="474"/>
      <c r="M85" s="474"/>
      <c r="N85" s="474"/>
      <c r="O85" s="4"/>
      <c r="P85" s="489"/>
    </row>
    <row r="86" spans="1:16" ht="18.75">
      <c r="B86" s="435"/>
      <c r="C86" s="13" t="s">
        <v>293</v>
      </c>
      <c r="D86" s="81"/>
      <c r="E86" s="4"/>
      <c r="F86" s="4"/>
      <c r="G86" s="4"/>
      <c r="H86" s="474"/>
      <c r="I86" s="474"/>
      <c r="J86" s="489"/>
      <c r="K86" s="474"/>
      <c r="L86" s="474"/>
      <c r="M86" s="474"/>
      <c r="N86" s="474"/>
      <c r="O86" s="4"/>
      <c r="P86" s="489"/>
    </row>
    <row r="87" spans="1:16" ht="15.75" thickBot="1">
      <c r="C87" s="269"/>
      <c r="D87" s="81"/>
      <c r="E87" s="4"/>
      <c r="F87" s="4"/>
      <c r="G87" s="4"/>
      <c r="H87" s="474"/>
      <c r="I87" s="474"/>
      <c r="J87" s="489"/>
      <c r="K87" s="474"/>
      <c r="L87" s="474"/>
      <c r="M87" s="474"/>
      <c r="N87" s="474"/>
      <c r="O87" s="4"/>
      <c r="P87" s="489"/>
    </row>
    <row r="88" spans="1:16" ht="15.75">
      <c r="C88" s="436" t="s">
        <v>294</v>
      </c>
      <c r="D88" s="81"/>
      <c r="E88" s="4"/>
      <c r="F88" s="4"/>
      <c r="G88" s="668"/>
      <c r="H88" s="4" t="s">
        <v>273</v>
      </c>
      <c r="I88" s="4"/>
      <c r="J88" s="4"/>
      <c r="K88" s="495" t="s">
        <v>298</v>
      </c>
      <c r="L88" s="496"/>
      <c r="M88" s="497"/>
      <c r="N88" s="498" t="e">
        <f>VLOOKUP(I94,C101:O160,5)</f>
        <v>#N/A</v>
      </c>
      <c r="O88" s="4"/>
    </row>
    <row r="89" spans="1:16" ht="15.75">
      <c r="C89" s="436"/>
      <c r="D89" s="81"/>
      <c r="E89" s="4"/>
      <c r="F89" s="4"/>
      <c r="G89" s="4"/>
      <c r="H89" s="499"/>
      <c r="I89" s="499"/>
      <c r="J89" s="500"/>
      <c r="K89" s="501" t="s">
        <v>299</v>
      </c>
      <c r="L89" s="502"/>
      <c r="M89" s="4"/>
      <c r="N89" s="503" t="e">
        <f>VLOOKUP(I94,C101:O160,6)</f>
        <v>#N/A</v>
      </c>
      <c r="O89" s="4"/>
      <c r="P89" s="500"/>
    </row>
    <row r="90" spans="1:16" ht="13.5" thickBot="1">
      <c r="C90" s="504" t="s">
        <v>295</v>
      </c>
      <c r="D90" s="1249" t="s">
        <v>116</v>
      </c>
      <c r="E90" s="1249"/>
      <c r="F90" s="1249"/>
      <c r="G90" s="1249"/>
      <c r="H90" s="474"/>
      <c r="I90" s="474"/>
      <c r="J90" s="489"/>
      <c r="K90" s="505" t="s">
        <v>452</v>
      </c>
      <c r="L90" s="506"/>
      <c r="M90" s="506"/>
      <c r="N90" s="507" t="e">
        <f>+N89-N88</f>
        <v>#N/A</v>
      </c>
      <c r="O90" s="4"/>
      <c r="P90" s="489"/>
    </row>
    <row r="91" spans="1:16">
      <c r="C91" s="508"/>
      <c r="D91" s="509"/>
      <c r="E91" s="491"/>
      <c r="F91" s="491"/>
      <c r="G91" s="510"/>
      <c r="H91" s="474"/>
      <c r="I91" s="474"/>
      <c r="J91" s="489"/>
      <c r="K91" s="474"/>
      <c r="L91" s="474"/>
      <c r="M91" s="474"/>
      <c r="N91" s="474"/>
      <c r="O91" s="4"/>
      <c r="P91" s="489"/>
    </row>
    <row r="92" spans="1:16" ht="13.5" thickBot="1">
      <c r="C92" s="508"/>
      <c r="D92" s="4"/>
      <c r="E92" s="510"/>
      <c r="F92" s="510"/>
      <c r="G92" s="510"/>
      <c r="H92" s="510"/>
      <c r="I92" s="510"/>
      <c r="J92" s="510"/>
      <c r="K92" s="510"/>
      <c r="L92" s="510"/>
      <c r="M92" s="510"/>
      <c r="N92" s="510"/>
      <c r="O92" s="4"/>
      <c r="P92" s="510"/>
    </row>
    <row r="93" spans="1:16" ht="13.5" thickBot="1">
      <c r="B93" s="253"/>
      <c r="C93" s="511" t="s">
        <v>296</v>
      </c>
      <c r="D93" s="512"/>
      <c r="E93" s="512"/>
      <c r="F93" s="512"/>
      <c r="G93" s="512"/>
      <c r="H93" s="512"/>
      <c r="I93" s="513"/>
      <c r="K93" s="4"/>
      <c r="L93" s="4"/>
      <c r="M93" s="4"/>
      <c r="N93" s="4"/>
      <c r="O93" s="4"/>
    </row>
    <row r="94" spans="1:16" ht="15">
      <c r="B94" s="253"/>
      <c r="C94" s="514" t="s">
        <v>274</v>
      </c>
      <c r="D94" s="669">
        <v>0</v>
      </c>
      <c r="E94" s="4" t="s">
        <v>275</v>
      </c>
      <c r="G94" s="81"/>
      <c r="H94" s="81"/>
      <c r="I94" s="515">
        <f>TCOS!$L$4</f>
        <v>2025</v>
      </c>
      <c r="J94" s="141"/>
      <c r="K94" s="1250" t="s">
        <v>461</v>
      </c>
      <c r="L94" s="1250"/>
      <c r="M94" s="1250"/>
      <c r="N94" s="1250"/>
      <c r="O94" s="1250"/>
      <c r="P94" s="141"/>
    </row>
    <row r="95" spans="1:16" ht="15">
      <c r="B95" s="253"/>
      <c r="C95" s="514" t="s">
        <v>277</v>
      </c>
      <c r="D95" s="668"/>
      <c r="E95" s="514" t="s">
        <v>278</v>
      </c>
      <c r="F95" s="81"/>
      <c r="H95"/>
      <c r="I95" s="672">
        <f>IF(G88="",0,$F$17)</f>
        <v>0</v>
      </c>
      <c r="J95" s="516"/>
      <c r="K95" s="489" t="s">
        <v>461</v>
      </c>
      <c r="P95" s="516"/>
    </row>
    <row r="96" spans="1:16">
      <c r="B96" s="253"/>
      <c r="C96" s="514" t="s">
        <v>279</v>
      </c>
      <c r="D96" s="670">
        <v>0</v>
      </c>
      <c r="E96" s="514" t="s">
        <v>280</v>
      </c>
      <c r="F96" s="81"/>
      <c r="H96"/>
      <c r="I96" s="517">
        <f>$G$70</f>
        <v>0.1146298035621662</v>
      </c>
      <c r="J96" s="83"/>
      <c r="K96" t="str">
        <f>"          INPUT PROJECTED ARR (WITH &amp; WITHOUT INCENTIVES) FROM EACH PRIOR YEAR"</f>
        <v xml:space="preserve">          INPUT PROJECTED ARR (WITH &amp; WITHOUT INCENTIVES) FROM EACH PRIOR YEAR</v>
      </c>
      <c r="P96" s="83"/>
    </row>
    <row r="97" spans="1:16">
      <c r="B97" s="253"/>
      <c r="C97" s="514" t="s">
        <v>281</v>
      </c>
      <c r="D97" s="518">
        <f>G$79</f>
        <v>36</v>
      </c>
      <c r="E97" s="514" t="s">
        <v>282</v>
      </c>
      <c r="F97" s="81"/>
      <c r="H97"/>
      <c r="I97" s="517">
        <f>IF(G88="",I96,$G$69)</f>
        <v>0.1146298035621662</v>
      </c>
      <c r="J97" s="83"/>
      <c r="K97" t="s">
        <v>359</v>
      </c>
      <c r="P97" s="83"/>
    </row>
    <row r="98" spans="1:16" ht="13.5" thickBot="1">
      <c r="B98" s="253"/>
      <c r="C98" s="514" t="s">
        <v>283</v>
      </c>
      <c r="D98" s="671" t="s">
        <v>116</v>
      </c>
      <c r="E98" s="519" t="s">
        <v>284</v>
      </c>
      <c r="F98" s="520"/>
      <c r="G98" s="521"/>
      <c r="H98" s="521"/>
      <c r="I98" s="507">
        <f>IF(D94=0,0,D94/D97)</f>
        <v>0</v>
      </c>
      <c r="J98" s="489"/>
      <c r="K98" s="489" t="s">
        <v>365</v>
      </c>
      <c r="L98" s="489"/>
      <c r="M98" s="489"/>
      <c r="N98" s="489"/>
      <c r="O98" s="4"/>
      <c r="P98" s="489"/>
    </row>
    <row r="99" spans="1:16" ht="51">
      <c r="A99" s="12"/>
      <c r="B99" s="12"/>
      <c r="C99" s="522" t="s">
        <v>274</v>
      </c>
      <c r="D99" s="523" t="s">
        <v>285</v>
      </c>
      <c r="E99" s="524" t="s">
        <v>286</v>
      </c>
      <c r="F99" s="523" t="s">
        <v>287</v>
      </c>
      <c r="G99" s="524" t="s">
        <v>358</v>
      </c>
      <c r="H99" s="525" t="s">
        <v>358</v>
      </c>
      <c r="I99" s="522" t="s">
        <v>297</v>
      </c>
      <c r="J99" s="526"/>
      <c r="K99" s="524" t="s">
        <v>367</v>
      </c>
      <c r="L99" s="527"/>
      <c r="M99" s="524" t="s">
        <v>367</v>
      </c>
      <c r="N99" s="527"/>
      <c r="O99" s="527"/>
      <c r="P99" s="134"/>
    </row>
    <row r="100" spans="1:16" ht="13.5" thickBot="1">
      <c r="C100" s="528" t="s">
        <v>179</v>
      </c>
      <c r="D100" s="529" t="s">
        <v>180</v>
      </c>
      <c r="E100" s="528" t="s">
        <v>38</v>
      </c>
      <c r="F100" s="529" t="s">
        <v>180</v>
      </c>
      <c r="G100" s="530" t="s">
        <v>300</v>
      </c>
      <c r="H100" s="531" t="s">
        <v>302</v>
      </c>
      <c r="I100" s="528" t="s">
        <v>391</v>
      </c>
      <c r="J100" s="532"/>
      <c r="K100" s="530" t="s">
        <v>289</v>
      </c>
      <c r="L100" s="533"/>
      <c r="M100" s="530" t="s">
        <v>302</v>
      </c>
      <c r="N100" s="533"/>
      <c r="O100" s="533"/>
      <c r="P100" s="141"/>
    </row>
    <row r="101" spans="1:16">
      <c r="C101" s="534" t="str">
        <f>IF(D95= "","-",D95)</f>
        <v>-</v>
      </c>
      <c r="D101" s="491">
        <f>+D94</f>
        <v>0</v>
      </c>
      <c r="E101" s="535">
        <f>+I98/12*(12-D96)</f>
        <v>0</v>
      </c>
      <c r="F101" s="491">
        <f t="shared" ref="F101:F160" si="0">+D101-E101</f>
        <v>0</v>
      </c>
      <c r="G101" s="690">
        <f>+$I$96*((D101+F101)/2)+E101</f>
        <v>0</v>
      </c>
      <c r="H101" s="691">
        <f>+$I$97*((D101+F101)/2)+E101</f>
        <v>0</v>
      </c>
      <c r="I101" s="538">
        <f>+H101-G101</f>
        <v>0</v>
      </c>
      <c r="J101" s="538"/>
      <c r="K101" s="673"/>
      <c r="L101" s="540"/>
      <c r="M101" s="673"/>
      <c r="N101" s="540"/>
      <c r="O101" s="540"/>
      <c r="P101" s="493"/>
    </row>
    <row r="102" spans="1:16">
      <c r="C102" s="534" t="str">
        <f>IF(D95="","-",+C101+1)</f>
        <v>-</v>
      </c>
      <c r="D102" s="491">
        <f t="shared" ref="D102:D160" si="1">F101</f>
        <v>0</v>
      </c>
      <c r="E102" s="541">
        <f>IF(D102&gt;$I$98,$I$98,D102)</f>
        <v>0</v>
      </c>
      <c r="F102" s="491">
        <f t="shared" si="0"/>
        <v>0</v>
      </c>
      <c r="G102" s="535">
        <f t="shared" ref="G102:G160" si="2">+$I$96*((D102+F102)/2)+E102</f>
        <v>0</v>
      </c>
      <c r="H102" s="542">
        <f t="shared" ref="H102:H160" si="3">+$I$97*((D102+F102)/2)+E102</f>
        <v>0</v>
      </c>
      <c r="I102" s="538">
        <f t="shared" ref="I102:I160" si="4">+H102-G102</f>
        <v>0</v>
      </c>
      <c r="J102" s="538"/>
      <c r="K102" s="673"/>
      <c r="L102" s="544"/>
      <c r="M102" s="673"/>
      <c r="N102" s="544"/>
      <c r="O102" s="544"/>
      <c r="P102" s="493"/>
    </row>
    <row r="103" spans="1:16">
      <c r="C103" s="534" t="str">
        <f>IF(D95="","-",+C102+1)</f>
        <v>-</v>
      </c>
      <c r="D103" s="491">
        <f t="shared" si="1"/>
        <v>0</v>
      </c>
      <c r="E103" s="541">
        <f t="shared" ref="E103:E160" si="5">IF(D103&gt;$I$98,$I$98,D103)</f>
        <v>0</v>
      </c>
      <c r="F103" s="491">
        <f t="shared" si="0"/>
        <v>0</v>
      </c>
      <c r="G103" s="535">
        <f t="shared" si="2"/>
        <v>0</v>
      </c>
      <c r="H103" s="542">
        <f t="shared" si="3"/>
        <v>0</v>
      </c>
      <c r="I103" s="538">
        <f t="shared" si="4"/>
        <v>0</v>
      </c>
      <c r="J103" s="538"/>
      <c r="K103" s="673"/>
      <c r="L103" s="544"/>
      <c r="M103" s="673"/>
      <c r="N103" s="544"/>
      <c r="O103" s="544"/>
      <c r="P103" s="493"/>
    </row>
    <row r="104" spans="1:16">
      <c r="C104" s="534" t="str">
        <f>IF(D95="","-",+C103+1)</f>
        <v>-</v>
      </c>
      <c r="D104" s="491">
        <f t="shared" si="1"/>
        <v>0</v>
      </c>
      <c r="E104" s="541">
        <f t="shared" si="5"/>
        <v>0</v>
      </c>
      <c r="F104" s="491">
        <f t="shared" si="0"/>
        <v>0</v>
      </c>
      <c r="G104" s="535">
        <f t="shared" si="2"/>
        <v>0</v>
      </c>
      <c r="H104" s="542">
        <f t="shared" si="3"/>
        <v>0</v>
      </c>
      <c r="I104" s="538">
        <f t="shared" si="4"/>
        <v>0</v>
      </c>
      <c r="J104" s="538"/>
      <c r="K104" s="673"/>
      <c r="L104" s="544"/>
      <c r="M104" s="673"/>
      <c r="N104" s="544"/>
      <c r="O104" s="544"/>
      <c r="P104" s="493"/>
    </row>
    <row r="105" spans="1:16">
      <c r="C105" s="534" t="str">
        <f>IF(D95="","-",+C104+1)</f>
        <v>-</v>
      </c>
      <c r="D105" s="491">
        <f t="shared" si="1"/>
        <v>0</v>
      </c>
      <c r="E105" s="541">
        <f t="shared" si="5"/>
        <v>0</v>
      </c>
      <c r="F105" s="491">
        <f t="shared" si="0"/>
        <v>0</v>
      </c>
      <c r="G105" s="535">
        <f t="shared" si="2"/>
        <v>0</v>
      </c>
      <c r="H105" s="542">
        <f t="shared" si="3"/>
        <v>0</v>
      </c>
      <c r="I105" s="538">
        <f t="shared" si="4"/>
        <v>0</v>
      </c>
      <c r="J105" s="538"/>
      <c r="K105" s="673"/>
      <c r="L105" s="544"/>
      <c r="M105" s="673"/>
      <c r="N105" s="544"/>
      <c r="O105" s="544"/>
      <c r="P105" s="493"/>
    </row>
    <row r="106" spans="1:16">
      <c r="C106" s="534" t="str">
        <f>IF(D95="","-",+C105+1)</f>
        <v>-</v>
      </c>
      <c r="D106" s="491">
        <f t="shared" si="1"/>
        <v>0</v>
      </c>
      <c r="E106" s="541">
        <f t="shared" si="5"/>
        <v>0</v>
      </c>
      <c r="F106" s="491">
        <f t="shared" si="0"/>
        <v>0</v>
      </c>
      <c r="G106" s="535">
        <f t="shared" si="2"/>
        <v>0</v>
      </c>
      <c r="H106" s="542">
        <f t="shared" si="3"/>
        <v>0</v>
      </c>
      <c r="I106" s="538">
        <f t="shared" si="4"/>
        <v>0</v>
      </c>
      <c r="J106" s="538"/>
      <c r="K106" s="673"/>
      <c r="L106" s="544"/>
      <c r="M106" s="673"/>
      <c r="N106" s="544"/>
      <c r="O106" s="544"/>
      <c r="P106" s="493"/>
    </row>
    <row r="107" spans="1:16">
      <c r="C107" s="534" t="str">
        <f>IF(D95="","-",+C106+1)</f>
        <v>-</v>
      </c>
      <c r="D107" s="491">
        <f>F106</f>
        <v>0</v>
      </c>
      <c r="E107" s="541">
        <f t="shared" si="5"/>
        <v>0</v>
      </c>
      <c r="F107" s="491">
        <f t="shared" si="0"/>
        <v>0</v>
      </c>
      <c r="G107" s="535">
        <f t="shared" si="2"/>
        <v>0</v>
      </c>
      <c r="H107" s="542">
        <f t="shared" si="3"/>
        <v>0</v>
      </c>
      <c r="I107" s="538">
        <f t="shared" si="4"/>
        <v>0</v>
      </c>
      <c r="J107" s="538"/>
      <c r="K107" s="673"/>
      <c r="L107" s="544"/>
      <c r="M107" s="673"/>
      <c r="N107" s="544"/>
      <c r="O107" s="544"/>
      <c r="P107" s="493"/>
    </row>
    <row r="108" spans="1:16">
      <c r="C108" s="534" t="str">
        <f>IF(D95="","-",+C107+1)</f>
        <v>-</v>
      </c>
      <c r="D108" s="491">
        <f t="shared" si="1"/>
        <v>0</v>
      </c>
      <c r="E108" s="541">
        <f t="shared" si="5"/>
        <v>0</v>
      </c>
      <c r="F108" s="491">
        <f t="shared" si="0"/>
        <v>0</v>
      </c>
      <c r="G108" s="535">
        <f t="shared" si="2"/>
        <v>0</v>
      </c>
      <c r="H108" s="542">
        <f t="shared" si="3"/>
        <v>0</v>
      </c>
      <c r="I108" s="538">
        <f t="shared" si="4"/>
        <v>0</v>
      </c>
      <c r="J108" s="538"/>
      <c r="K108" s="673"/>
      <c r="L108" s="544"/>
      <c r="M108" s="673"/>
      <c r="N108" s="544"/>
      <c r="O108" s="544"/>
      <c r="P108" s="493"/>
    </row>
    <row r="109" spans="1:16">
      <c r="C109" s="534" t="str">
        <f>IF(D95="","-",+C108+1)</f>
        <v>-</v>
      </c>
      <c r="D109" s="491">
        <f t="shared" si="1"/>
        <v>0</v>
      </c>
      <c r="E109" s="541">
        <f t="shared" si="5"/>
        <v>0</v>
      </c>
      <c r="F109" s="491">
        <f t="shared" si="0"/>
        <v>0</v>
      </c>
      <c r="G109" s="535">
        <f t="shared" si="2"/>
        <v>0</v>
      </c>
      <c r="H109" s="542">
        <f t="shared" si="3"/>
        <v>0</v>
      </c>
      <c r="I109" s="538">
        <f t="shared" si="4"/>
        <v>0</v>
      </c>
      <c r="J109" s="538"/>
      <c r="K109" s="673"/>
      <c r="L109" s="544"/>
      <c r="M109" s="673"/>
      <c r="N109" s="544"/>
      <c r="O109" s="544"/>
      <c r="P109" s="493"/>
    </row>
    <row r="110" spans="1:16">
      <c r="C110" s="534" t="str">
        <f>IF(D95="","-",+C109+1)</f>
        <v>-</v>
      </c>
      <c r="D110" s="491">
        <f t="shared" si="1"/>
        <v>0</v>
      </c>
      <c r="E110" s="541">
        <f t="shared" si="5"/>
        <v>0</v>
      </c>
      <c r="F110" s="491">
        <f t="shared" si="0"/>
        <v>0</v>
      </c>
      <c r="G110" s="535">
        <f t="shared" si="2"/>
        <v>0</v>
      </c>
      <c r="H110" s="542">
        <f t="shared" si="3"/>
        <v>0</v>
      </c>
      <c r="I110" s="538">
        <f t="shared" si="4"/>
        <v>0</v>
      </c>
      <c r="J110" s="538"/>
      <c r="K110" s="673"/>
      <c r="L110" s="544"/>
      <c r="M110" s="673"/>
      <c r="N110" s="544"/>
      <c r="O110" s="544"/>
      <c r="P110" s="493"/>
    </row>
    <row r="111" spans="1:16">
      <c r="C111" s="534" t="str">
        <f>IF(D95="","-",+C110+1)</f>
        <v>-</v>
      </c>
      <c r="D111" s="491">
        <f t="shared" si="1"/>
        <v>0</v>
      </c>
      <c r="E111" s="541">
        <f t="shared" si="5"/>
        <v>0</v>
      </c>
      <c r="F111" s="491">
        <f t="shared" si="0"/>
        <v>0</v>
      </c>
      <c r="G111" s="535">
        <f t="shared" si="2"/>
        <v>0</v>
      </c>
      <c r="H111" s="542">
        <f t="shared" si="3"/>
        <v>0</v>
      </c>
      <c r="I111" s="538">
        <f t="shared" si="4"/>
        <v>0</v>
      </c>
      <c r="J111" s="538"/>
      <c r="K111" s="673"/>
      <c r="L111" s="544"/>
      <c r="M111" s="673"/>
      <c r="N111" s="544"/>
      <c r="O111" s="544"/>
      <c r="P111" s="493"/>
    </row>
    <row r="112" spans="1:16">
      <c r="C112" s="534" t="str">
        <f>IF(D95="","-",+C111+1)</f>
        <v>-</v>
      </c>
      <c r="D112" s="491">
        <f t="shared" si="1"/>
        <v>0</v>
      </c>
      <c r="E112" s="541">
        <f t="shared" si="5"/>
        <v>0</v>
      </c>
      <c r="F112" s="491">
        <f t="shared" si="0"/>
        <v>0</v>
      </c>
      <c r="G112" s="535">
        <f t="shared" si="2"/>
        <v>0</v>
      </c>
      <c r="H112" s="542">
        <f t="shared" si="3"/>
        <v>0</v>
      </c>
      <c r="I112" s="538">
        <f t="shared" si="4"/>
        <v>0</v>
      </c>
      <c r="J112" s="538"/>
      <c r="K112" s="673"/>
      <c r="L112" s="544"/>
      <c r="M112" s="673"/>
      <c r="N112" s="544"/>
      <c r="O112" s="544"/>
      <c r="P112" s="493"/>
    </row>
    <row r="113" spans="3:16">
      <c r="C113" s="534" t="str">
        <f>IF(D95="","-",+C112+1)</f>
        <v>-</v>
      </c>
      <c r="D113" s="491">
        <f t="shared" si="1"/>
        <v>0</v>
      </c>
      <c r="E113" s="541">
        <f t="shared" si="5"/>
        <v>0</v>
      </c>
      <c r="F113" s="491">
        <f t="shared" si="0"/>
        <v>0</v>
      </c>
      <c r="G113" s="535">
        <f t="shared" si="2"/>
        <v>0</v>
      </c>
      <c r="H113" s="542">
        <f t="shared" si="3"/>
        <v>0</v>
      </c>
      <c r="I113" s="538">
        <f t="shared" si="4"/>
        <v>0</v>
      </c>
      <c r="J113" s="538"/>
      <c r="K113" s="673"/>
      <c r="L113" s="544"/>
      <c r="M113" s="673"/>
      <c r="N113" s="545"/>
      <c r="O113" s="544"/>
      <c r="P113" s="493"/>
    </row>
    <row r="114" spans="3:16">
      <c r="C114" s="534" t="str">
        <f>IF(D95="","-",+C113+1)</f>
        <v>-</v>
      </c>
      <c r="D114" s="491">
        <f t="shared" si="1"/>
        <v>0</v>
      </c>
      <c r="E114" s="541">
        <f t="shared" si="5"/>
        <v>0</v>
      </c>
      <c r="F114" s="491">
        <f t="shared" si="0"/>
        <v>0</v>
      </c>
      <c r="G114" s="535">
        <f t="shared" si="2"/>
        <v>0</v>
      </c>
      <c r="H114" s="542">
        <f t="shared" si="3"/>
        <v>0</v>
      </c>
      <c r="I114" s="538">
        <f t="shared" si="4"/>
        <v>0</v>
      </c>
      <c r="J114" s="538"/>
      <c r="K114" s="673"/>
      <c r="L114" s="544"/>
      <c r="M114" s="673"/>
      <c r="N114" s="544"/>
      <c r="O114" s="544"/>
      <c r="P114" s="493"/>
    </row>
    <row r="115" spans="3:16">
      <c r="C115" s="534" t="str">
        <f>IF(D95="","-",+C114+1)</f>
        <v>-</v>
      </c>
      <c r="D115" s="491">
        <f t="shared" si="1"/>
        <v>0</v>
      </c>
      <c r="E115" s="541">
        <f t="shared" si="5"/>
        <v>0</v>
      </c>
      <c r="F115" s="491">
        <f t="shared" si="0"/>
        <v>0</v>
      </c>
      <c r="G115" s="535">
        <f t="shared" si="2"/>
        <v>0</v>
      </c>
      <c r="H115" s="542">
        <f t="shared" si="3"/>
        <v>0</v>
      </c>
      <c r="I115" s="538">
        <f t="shared" si="4"/>
        <v>0</v>
      </c>
      <c r="J115" s="538"/>
      <c r="K115" s="673"/>
      <c r="L115" s="544"/>
      <c r="M115" s="673"/>
      <c r="N115" s="544"/>
      <c r="O115" s="544"/>
      <c r="P115" s="493"/>
    </row>
    <row r="116" spans="3:16">
      <c r="C116" s="534" t="str">
        <f>IF(D95="","-",+C115+1)</f>
        <v>-</v>
      </c>
      <c r="D116" s="491">
        <f t="shared" si="1"/>
        <v>0</v>
      </c>
      <c r="E116" s="541">
        <f t="shared" si="5"/>
        <v>0</v>
      </c>
      <c r="F116" s="491">
        <f t="shared" si="0"/>
        <v>0</v>
      </c>
      <c r="G116" s="535">
        <f t="shared" si="2"/>
        <v>0</v>
      </c>
      <c r="H116" s="542">
        <f t="shared" si="3"/>
        <v>0</v>
      </c>
      <c r="I116" s="538">
        <f t="shared" si="4"/>
        <v>0</v>
      </c>
      <c r="J116" s="538"/>
      <c r="K116" s="673"/>
      <c r="L116" s="544"/>
      <c r="M116" s="673"/>
      <c r="N116" s="544"/>
      <c r="O116" s="544"/>
      <c r="P116" s="493"/>
    </row>
    <row r="117" spans="3:16">
      <c r="C117" s="534" t="str">
        <f>IF(D95="","-",+C116+1)</f>
        <v>-</v>
      </c>
      <c r="D117" s="491">
        <f t="shared" si="1"/>
        <v>0</v>
      </c>
      <c r="E117" s="541">
        <f t="shared" si="5"/>
        <v>0</v>
      </c>
      <c r="F117" s="491">
        <f t="shared" si="0"/>
        <v>0</v>
      </c>
      <c r="G117" s="535">
        <f t="shared" si="2"/>
        <v>0</v>
      </c>
      <c r="H117" s="542">
        <f t="shared" si="3"/>
        <v>0</v>
      </c>
      <c r="I117" s="538">
        <f t="shared" si="4"/>
        <v>0</v>
      </c>
      <c r="J117" s="538"/>
      <c r="K117" s="673"/>
      <c r="L117" s="544"/>
      <c r="M117" s="673"/>
      <c r="N117" s="544"/>
      <c r="O117" s="544"/>
      <c r="P117" s="493"/>
    </row>
    <row r="118" spans="3:16">
      <c r="C118" s="534" t="str">
        <f>IF(D95="","-",+C117+1)</f>
        <v>-</v>
      </c>
      <c r="D118" s="491">
        <f t="shared" si="1"/>
        <v>0</v>
      </c>
      <c r="E118" s="541">
        <f t="shared" si="5"/>
        <v>0</v>
      </c>
      <c r="F118" s="491">
        <f t="shared" si="0"/>
        <v>0</v>
      </c>
      <c r="G118" s="535">
        <f t="shared" si="2"/>
        <v>0</v>
      </c>
      <c r="H118" s="542">
        <f t="shared" si="3"/>
        <v>0</v>
      </c>
      <c r="I118" s="538">
        <f t="shared" si="4"/>
        <v>0</v>
      </c>
      <c r="J118" s="538"/>
      <c r="K118" s="673"/>
      <c r="L118" s="544"/>
      <c r="M118" s="673"/>
      <c r="N118" s="544"/>
      <c r="O118" s="544"/>
      <c r="P118" s="493"/>
    </row>
    <row r="119" spans="3:16">
      <c r="C119" s="534" t="str">
        <f>IF(D95="","-",+C118+1)</f>
        <v>-</v>
      </c>
      <c r="D119" s="491">
        <f t="shared" si="1"/>
        <v>0</v>
      </c>
      <c r="E119" s="541">
        <f t="shared" si="5"/>
        <v>0</v>
      </c>
      <c r="F119" s="491">
        <f t="shared" si="0"/>
        <v>0</v>
      </c>
      <c r="G119" s="535">
        <f t="shared" si="2"/>
        <v>0</v>
      </c>
      <c r="H119" s="542">
        <f t="shared" si="3"/>
        <v>0</v>
      </c>
      <c r="I119" s="538">
        <f t="shared" si="4"/>
        <v>0</v>
      </c>
      <c r="J119" s="538"/>
      <c r="K119" s="673"/>
      <c r="L119" s="544"/>
      <c r="M119" s="673"/>
      <c r="N119" s="544"/>
      <c r="O119" s="544"/>
      <c r="P119" s="493"/>
    </row>
    <row r="120" spans="3:16">
      <c r="C120" s="534" t="str">
        <f>IF(D95="","-",+C119+1)</f>
        <v>-</v>
      </c>
      <c r="D120" s="491">
        <f t="shared" si="1"/>
        <v>0</v>
      </c>
      <c r="E120" s="541">
        <f t="shared" si="5"/>
        <v>0</v>
      </c>
      <c r="F120" s="491">
        <f t="shared" si="0"/>
        <v>0</v>
      </c>
      <c r="G120" s="535">
        <f t="shared" si="2"/>
        <v>0</v>
      </c>
      <c r="H120" s="542">
        <f t="shared" si="3"/>
        <v>0</v>
      </c>
      <c r="I120" s="538">
        <f t="shared" si="4"/>
        <v>0</v>
      </c>
      <c r="J120" s="538"/>
      <c r="K120" s="673"/>
      <c r="L120" s="544"/>
      <c r="M120" s="673"/>
      <c r="N120" s="544"/>
      <c r="O120" s="544"/>
      <c r="P120" s="493"/>
    </row>
    <row r="121" spans="3:16">
      <c r="C121" s="534" t="str">
        <f>IF(D95="","-",+C120+1)</f>
        <v>-</v>
      </c>
      <c r="D121" s="491">
        <f t="shared" si="1"/>
        <v>0</v>
      </c>
      <c r="E121" s="541">
        <f t="shared" si="5"/>
        <v>0</v>
      </c>
      <c r="F121" s="491">
        <f t="shared" si="0"/>
        <v>0</v>
      </c>
      <c r="G121" s="535">
        <f t="shared" si="2"/>
        <v>0</v>
      </c>
      <c r="H121" s="542">
        <f t="shared" si="3"/>
        <v>0</v>
      </c>
      <c r="I121" s="538">
        <f t="shared" si="4"/>
        <v>0</v>
      </c>
      <c r="J121" s="538"/>
      <c r="K121" s="673"/>
      <c r="L121" s="544"/>
      <c r="M121" s="673"/>
      <c r="N121" s="544"/>
      <c r="O121" s="544"/>
      <c r="P121" s="493"/>
    </row>
    <row r="122" spans="3:16">
      <c r="C122" s="534" t="str">
        <f>IF(D95="","-",+C121+1)</f>
        <v>-</v>
      </c>
      <c r="D122" s="491">
        <f t="shared" si="1"/>
        <v>0</v>
      </c>
      <c r="E122" s="541">
        <f t="shared" si="5"/>
        <v>0</v>
      </c>
      <c r="F122" s="491">
        <f t="shared" si="0"/>
        <v>0</v>
      </c>
      <c r="G122" s="535">
        <f t="shared" si="2"/>
        <v>0</v>
      </c>
      <c r="H122" s="542">
        <f t="shared" si="3"/>
        <v>0</v>
      </c>
      <c r="I122" s="538">
        <f t="shared" si="4"/>
        <v>0</v>
      </c>
      <c r="J122" s="538"/>
      <c r="K122" s="673"/>
      <c r="L122" s="544"/>
      <c r="M122" s="673"/>
      <c r="N122" s="544"/>
      <c r="O122" s="544"/>
      <c r="P122" s="493"/>
    </row>
    <row r="123" spans="3:16">
      <c r="C123" s="534" t="str">
        <f>IF(D95="","-",+C122+1)</f>
        <v>-</v>
      </c>
      <c r="D123" s="491">
        <f t="shared" si="1"/>
        <v>0</v>
      </c>
      <c r="E123" s="541">
        <f t="shared" si="5"/>
        <v>0</v>
      </c>
      <c r="F123" s="491">
        <f t="shared" si="0"/>
        <v>0</v>
      </c>
      <c r="G123" s="535">
        <f t="shared" si="2"/>
        <v>0</v>
      </c>
      <c r="H123" s="542">
        <f t="shared" si="3"/>
        <v>0</v>
      </c>
      <c r="I123" s="538">
        <f t="shared" si="4"/>
        <v>0</v>
      </c>
      <c r="J123" s="538"/>
      <c r="K123" s="673"/>
      <c r="L123" s="544"/>
      <c r="M123" s="673"/>
      <c r="N123" s="544"/>
      <c r="O123" s="544"/>
      <c r="P123" s="493"/>
    </row>
    <row r="124" spans="3:16">
      <c r="C124" s="534" t="str">
        <f>IF(D95="","-",+C123+1)</f>
        <v>-</v>
      </c>
      <c r="D124" s="491">
        <f t="shared" si="1"/>
        <v>0</v>
      </c>
      <c r="E124" s="541">
        <f t="shared" si="5"/>
        <v>0</v>
      </c>
      <c r="F124" s="491">
        <f t="shared" si="0"/>
        <v>0</v>
      </c>
      <c r="G124" s="535">
        <f t="shared" si="2"/>
        <v>0</v>
      </c>
      <c r="H124" s="542">
        <f t="shared" si="3"/>
        <v>0</v>
      </c>
      <c r="I124" s="538">
        <f t="shared" si="4"/>
        <v>0</v>
      </c>
      <c r="J124" s="538"/>
      <c r="K124" s="673"/>
      <c r="L124" s="544"/>
      <c r="M124" s="673"/>
      <c r="N124" s="544"/>
      <c r="O124" s="544"/>
      <c r="P124" s="493"/>
    </row>
    <row r="125" spans="3:16">
      <c r="C125" s="534" t="str">
        <f>IF(D95="","-",+C124+1)</f>
        <v>-</v>
      </c>
      <c r="D125" s="491">
        <f t="shared" si="1"/>
        <v>0</v>
      </c>
      <c r="E125" s="541">
        <f t="shared" si="5"/>
        <v>0</v>
      </c>
      <c r="F125" s="491">
        <f t="shared" si="0"/>
        <v>0</v>
      </c>
      <c r="G125" s="535">
        <f t="shared" si="2"/>
        <v>0</v>
      </c>
      <c r="H125" s="542">
        <f t="shared" si="3"/>
        <v>0</v>
      </c>
      <c r="I125" s="538">
        <f t="shared" si="4"/>
        <v>0</v>
      </c>
      <c r="J125" s="538"/>
      <c r="K125" s="673"/>
      <c r="L125" s="544"/>
      <c r="M125" s="673"/>
      <c r="N125" s="544"/>
      <c r="O125" s="544"/>
      <c r="P125" s="493"/>
    </row>
    <row r="126" spans="3:16">
      <c r="C126" s="534" t="str">
        <f>IF(D95="","-",+C125+1)</f>
        <v>-</v>
      </c>
      <c r="D126" s="491">
        <f t="shared" si="1"/>
        <v>0</v>
      </c>
      <c r="E126" s="541">
        <f t="shared" si="5"/>
        <v>0</v>
      </c>
      <c r="F126" s="491">
        <f t="shared" si="0"/>
        <v>0</v>
      </c>
      <c r="G126" s="535">
        <f t="shared" si="2"/>
        <v>0</v>
      </c>
      <c r="H126" s="542">
        <f t="shared" si="3"/>
        <v>0</v>
      </c>
      <c r="I126" s="538">
        <f t="shared" si="4"/>
        <v>0</v>
      </c>
      <c r="J126" s="538"/>
      <c r="K126" s="673"/>
      <c r="L126" s="544"/>
      <c r="M126" s="673"/>
      <c r="N126" s="544"/>
      <c r="O126" s="544"/>
      <c r="P126" s="493"/>
    </row>
    <row r="127" spans="3:16">
      <c r="C127" s="534" t="str">
        <f>IF(D95="","-",+C126+1)</f>
        <v>-</v>
      </c>
      <c r="D127" s="491">
        <f t="shared" si="1"/>
        <v>0</v>
      </c>
      <c r="E127" s="541">
        <f t="shared" si="5"/>
        <v>0</v>
      </c>
      <c r="F127" s="491">
        <f t="shared" si="0"/>
        <v>0</v>
      </c>
      <c r="G127" s="535">
        <f t="shared" si="2"/>
        <v>0</v>
      </c>
      <c r="H127" s="542">
        <f t="shared" si="3"/>
        <v>0</v>
      </c>
      <c r="I127" s="538">
        <f t="shared" si="4"/>
        <v>0</v>
      </c>
      <c r="J127" s="538"/>
      <c r="K127" s="673"/>
      <c r="L127" s="544"/>
      <c r="M127" s="673"/>
      <c r="N127" s="544"/>
      <c r="O127" s="544"/>
      <c r="P127" s="493"/>
    </row>
    <row r="128" spans="3:16">
      <c r="C128" s="534" t="str">
        <f>IF(D95="","-",+C127+1)</f>
        <v>-</v>
      </c>
      <c r="D128" s="491">
        <f t="shared" si="1"/>
        <v>0</v>
      </c>
      <c r="E128" s="541">
        <f t="shared" si="5"/>
        <v>0</v>
      </c>
      <c r="F128" s="491">
        <f t="shared" si="0"/>
        <v>0</v>
      </c>
      <c r="G128" s="535">
        <f t="shared" si="2"/>
        <v>0</v>
      </c>
      <c r="H128" s="542">
        <f t="shared" si="3"/>
        <v>0</v>
      </c>
      <c r="I128" s="538">
        <f t="shared" si="4"/>
        <v>0</v>
      </c>
      <c r="J128" s="538"/>
      <c r="K128" s="673"/>
      <c r="L128" s="544"/>
      <c r="M128" s="673"/>
      <c r="N128" s="544"/>
      <c r="O128" s="544"/>
      <c r="P128" s="493"/>
    </row>
    <row r="129" spans="3:16">
      <c r="C129" s="534" t="str">
        <f>IF(D95="","-",+C128+1)</f>
        <v>-</v>
      </c>
      <c r="D129" s="491">
        <f t="shared" si="1"/>
        <v>0</v>
      </c>
      <c r="E129" s="541">
        <f t="shared" si="5"/>
        <v>0</v>
      </c>
      <c r="F129" s="491">
        <f t="shared" si="0"/>
        <v>0</v>
      </c>
      <c r="G129" s="536">
        <f t="shared" si="2"/>
        <v>0</v>
      </c>
      <c r="H129" s="542">
        <f t="shared" si="3"/>
        <v>0</v>
      </c>
      <c r="I129" s="538">
        <f t="shared" si="4"/>
        <v>0</v>
      </c>
      <c r="J129" s="538"/>
      <c r="K129" s="673"/>
      <c r="L129" s="544"/>
      <c r="M129" s="673"/>
      <c r="N129" s="544"/>
      <c r="O129" s="544"/>
      <c r="P129" s="493"/>
    </row>
    <row r="130" spans="3:16">
      <c r="C130" s="534" t="str">
        <f>IF(D95="","-",+C129+1)</f>
        <v>-</v>
      </c>
      <c r="D130" s="491">
        <f t="shared" si="1"/>
        <v>0</v>
      </c>
      <c r="E130" s="541">
        <f t="shared" si="5"/>
        <v>0</v>
      </c>
      <c r="F130" s="491">
        <f t="shared" si="0"/>
        <v>0</v>
      </c>
      <c r="G130" s="535">
        <f t="shared" si="2"/>
        <v>0</v>
      </c>
      <c r="H130" s="542">
        <f t="shared" si="3"/>
        <v>0</v>
      </c>
      <c r="I130" s="538">
        <f t="shared" si="4"/>
        <v>0</v>
      </c>
      <c r="J130" s="538"/>
      <c r="K130" s="673"/>
      <c r="L130" s="544"/>
      <c r="M130" s="673"/>
      <c r="N130" s="544"/>
      <c r="O130" s="544"/>
      <c r="P130" s="493"/>
    </row>
    <row r="131" spans="3:16">
      <c r="C131" s="534" t="str">
        <f>IF(D95="","-",+C130+1)</f>
        <v>-</v>
      </c>
      <c r="D131" s="491">
        <f t="shared" si="1"/>
        <v>0</v>
      </c>
      <c r="E131" s="541">
        <f t="shared" si="5"/>
        <v>0</v>
      </c>
      <c r="F131" s="491">
        <f t="shared" si="0"/>
        <v>0</v>
      </c>
      <c r="G131" s="535">
        <f t="shared" si="2"/>
        <v>0</v>
      </c>
      <c r="H131" s="542">
        <f t="shared" si="3"/>
        <v>0</v>
      </c>
      <c r="I131" s="538">
        <f t="shared" si="4"/>
        <v>0</v>
      </c>
      <c r="J131" s="538"/>
      <c r="K131" s="673"/>
      <c r="L131" s="544"/>
      <c r="M131" s="673"/>
      <c r="N131" s="544"/>
      <c r="O131" s="544"/>
      <c r="P131" s="493"/>
    </row>
    <row r="132" spans="3:16">
      <c r="C132" s="534" t="str">
        <f>IF(D95="","-",+C131+1)</f>
        <v>-</v>
      </c>
      <c r="D132" s="491">
        <f t="shared" si="1"/>
        <v>0</v>
      </c>
      <c r="E132" s="541">
        <f t="shared" si="5"/>
        <v>0</v>
      </c>
      <c r="F132" s="491">
        <f t="shared" si="0"/>
        <v>0</v>
      </c>
      <c r="G132" s="535">
        <f t="shared" si="2"/>
        <v>0</v>
      </c>
      <c r="H132" s="542">
        <f t="shared" si="3"/>
        <v>0</v>
      </c>
      <c r="I132" s="538">
        <f t="shared" si="4"/>
        <v>0</v>
      </c>
      <c r="J132" s="538"/>
      <c r="K132" s="673"/>
      <c r="L132" s="544"/>
      <c r="M132" s="673"/>
      <c r="N132" s="544"/>
      <c r="O132" s="544"/>
      <c r="P132" s="493"/>
    </row>
    <row r="133" spans="3:16">
      <c r="C133" s="534" t="str">
        <f>IF(D95="","-",+C132+1)</f>
        <v>-</v>
      </c>
      <c r="D133" s="491">
        <f t="shared" si="1"/>
        <v>0</v>
      </c>
      <c r="E133" s="541">
        <f t="shared" si="5"/>
        <v>0</v>
      </c>
      <c r="F133" s="491">
        <f t="shared" si="0"/>
        <v>0</v>
      </c>
      <c r="G133" s="535">
        <f t="shared" si="2"/>
        <v>0</v>
      </c>
      <c r="H133" s="542">
        <f t="shared" si="3"/>
        <v>0</v>
      </c>
      <c r="I133" s="538">
        <f t="shared" si="4"/>
        <v>0</v>
      </c>
      <c r="J133" s="538"/>
      <c r="K133" s="673"/>
      <c r="L133" s="544"/>
      <c r="M133" s="673"/>
      <c r="N133" s="544"/>
      <c r="O133" s="544"/>
      <c r="P133" s="493"/>
    </row>
    <row r="134" spans="3:16">
      <c r="C134" s="534" t="str">
        <f>IF(D95="","-",+C133+1)</f>
        <v>-</v>
      </c>
      <c r="D134" s="491">
        <f t="shared" si="1"/>
        <v>0</v>
      </c>
      <c r="E134" s="541">
        <f t="shared" si="5"/>
        <v>0</v>
      </c>
      <c r="F134" s="491">
        <f t="shared" si="0"/>
        <v>0</v>
      </c>
      <c r="G134" s="535">
        <f t="shared" si="2"/>
        <v>0</v>
      </c>
      <c r="H134" s="542">
        <f t="shared" si="3"/>
        <v>0</v>
      </c>
      <c r="I134" s="538">
        <f t="shared" si="4"/>
        <v>0</v>
      </c>
      <c r="J134" s="538"/>
      <c r="K134" s="673"/>
      <c r="L134" s="544"/>
      <c r="M134" s="673"/>
      <c r="N134" s="544"/>
      <c r="O134" s="544"/>
      <c r="P134" s="493"/>
    </row>
    <row r="135" spans="3:16">
      <c r="C135" s="534" t="str">
        <f>IF(D95="","-",+C134+1)</f>
        <v>-</v>
      </c>
      <c r="D135" s="491">
        <f t="shared" si="1"/>
        <v>0</v>
      </c>
      <c r="E135" s="541">
        <f t="shared" si="5"/>
        <v>0</v>
      </c>
      <c r="F135" s="491">
        <f t="shared" si="0"/>
        <v>0</v>
      </c>
      <c r="G135" s="535">
        <f t="shared" si="2"/>
        <v>0</v>
      </c>
      <c r="H135" s="542">
        <f t="shared" si="3"/>
        <v>0</v>
      </c>
      <c r="I135" s="538">
        <f t="shared" si="4"/>
        <v>0</v>
      </c>
      <c r="J135" s="538"/>
      <c r="K135" s="673"/>
      <c r="L135" s="544"/>
      <c r="M135" s="673"/>
      <c r="N135" s="544"/>
      <c r="O135" s="544"/>
      <c r="P135" s="493"/>
    </row>
    <row r="136" spans="3:16">
      <c r="C136" s="534" t="str">
        <f>IF(D95="","-",+C135+1)</f>
        <v>-</v>
      </c>
      <c r="D136" s="491">
        <f t="shared" si="1"/>
        <v>0</v>
      </c>
      <c r="E136" s="541">
        <f t="shared" si="5"/>
        <v>0</v>
      </c>
      <c r="F136" s="491">
        <f t="shared" si="0"/>
        <v>0</v>
      </c>
      <c r="G136" s="535">
        <f t="shared" si="2"/>
        <v>0</v>
      </c>
      <c r="H136" s="542">
        <f t="shared" si="3"/>
        <v>0</v>
      </c>
      <c r="I136" s="538">
        <f t="shared" si="4"/>
        <v>0</v>
      </c>
      <c r="J136" s="538"/>
      <c r="K136" s="673"/>
      <c r="L136" s="544"/>
      <c r="M136" s="673"/>
      <c r="N136" s="544"/>
      <c r="O136" s="544"/>
      <c r="P136" s="493"/>
    </row>
    <row r="137" spans="3:16">
      <c r="C137" s="534" t="str">
        <f>IF(D95="","-",+C136+1)</f>
        <v>-</v>
      </c>
      <c r="D137" s="491">
        <f t="shared" si="1"/>
        <v>0</v>
      </c>
      <c r="E137" s="541">
        <f t="shared" si="5"/>
        <v>0</v>
      </c>
      <c r="F137" s="491">
        <f t="shared" si="0"/>
        <v>0</v>
      </c>
      <c r="G137" s="535">
        <f t="shared" si="2"/>
        <v>0</v>
      </c>
      <c r="H137" s="542">
        <f t="shared" si="3"/>
        <v>0</v>
      </c>
      <c r="I137" s="538">
        <f t="shared" si="4"/>
        <v>0</v>
      </c>
      <c r="J137" s="538"/>
      <c r="K137" s="673"/>
      <c r="L137" s="544"/>
      <c r="M137" s="673"/>
      <c r="N137" s="544"/>
      <c r="O137" s="544"/>
      <c r="P137" s="493"/>
    </row>
    <row r="138" spans="3:16">
      <c r="C138" s="534" t="str">
        <f>IF(D95="","-",+C137+1)</f>
        <v>-</v>
      </c>
      <c r="D138" s="491">
        <f t="shared" si="1"/>
        <v>0</v>
      </c>
      <c r="E138" s="541">
        <f t="shared" si="5"/>
        <v>0</v>
      </c>
      <c r="F138" s="491">
        <f t="shared" si="0"/>
        <v>0</v>
      </c>
      <c r="G138" s="535">
        <f t="shared" si="2"/>
        <v>0</v>
      </c>
      <c r="H138" s="542">
        <f t="shared" si="3"/>
        <v>0</v>
      </c>
      <c r="I138" s="538">
        <f t="shared" si="4"/>
        <v>0</v>
      </c>
      <c r="J138" s="538"/>
      <c r="K138" s="673"/>
      <c r="L138" s="544"/>
      <c r="M138" s="673"/>
      <c r="N138" s="544"/>
      <c r="O138" s="544"/>
      <c r="P138" s="493"/>
    </row>
    <row r="139" spans="3:16">
      <c r="C139" s="534" t="str">
        <f>IF(D95="","-",+C138+1)</f>
        <v>-</v>
      </c>
      <c r="D139" s="491">
        <f t="shared" si="1"/>
        <v>0</v>
      </c>
      <c r="E139" s="541">
        <f t="shared" si="5"/>
        <v>0</v>
      </c>
      <c r="F139" s="491">
        <f t="shared" si="0"/>
        <v>0</v>
      </c>
      <c r="G139" s="535">
        <f t="shared" si="2"/>
        <v>0</v>
      </c>
      <c r="H139" s="542">
        <f t="shared" si="3"/>
        <v>0</v>
      </c>
      <c r="I139" s="538">
        <f t="shared" si="4"/>
        <v>0</v>
      </c>
      <c r="J139" s="538"/>
      <c r="K139" s="673"/>
      <c r="L139" s="544"/>
      <c r="M139" s="673"/>
      <c r="N139" s="544"/>
      <c r="O139" s="544"/>
      <c r="P139" s="493"/>
    </row>
    <row r="140" spans="3:16">
      <c r="C140" s="534" t="str">
        <f>IF(D95="","-",+C139+1)</f>
        <v>-</v>
      </c>
      <c r="D140" s="491">
        <f t="shared" si="1"/>
        <v>0</v>
      </c>
      <c r="E140" s="541">
        <f t="shared" si="5"/>
        <v>0</v>
      </c>
      <c r="F140" s="491">
        <f t="shared" si="0"/>
        <v>0</v>
      </c>
      <c r="G140" s="535">
        <f t="shared" si="2"/>
        <v>0</v>
      </c>
      <c r="H140" s="542">
        <f t="shared" si="3"/>
        <v>0</v>
      </c>
      <c r="I140" s="538">
        <f t="shared" si="4"/>
        <v>0</v>
      </c>
      <c r="J140" s="538"/>
      <c r="K140" s="673"/>
      <c r="L140" s="544"/>
      <c r="M140" s="673"/>
      <c r="N140" s="544"/>
      <c r="O140" s="544"/>
      <c r="P140" s="493"/>
    </row>
    <row r="141" spans="3:16">
      <c r="C141" s="534" t="str">
        <f>IF(D95="","-",+C140+1)</f>
        <v>-</v>
      </c>
      <c r="D141" s="491">
        <f t="shared" si="1"/>
        <v>0</v>
      </c>
      <c r="E141" s="541">
        <f t="shared" si="5"/>
        <v>0</v>
      </c>
      <c r="F141" s="491">
        <f t="shared" si="0"/>
        <v>0</v>
      </c>
      <c r="G141" s="535">
        <f t="shared" si="2"/>
        <v>0</v>
      </c>
      <c r="H141" s="542">
        <f t="shared" si="3"/>
        <v>0</v>
      </c>
      <c r="I141" s="538">
        <f t="shared" si="4"/>
        <v>0</v>
      </c>
      <c r="J141" s="538"/>
      <c r="K141" s="673"/>
      <c r="L141" s="544"/>
      <c r="M141" s="673"/>
      <c r="N141" s="544"/>
      <c r="O141" s="544"/>
      <c r="P141" s="493"/>
    </row>
    <row r="142" spans="3:16">
      <c r="C142" s="534" t="str">
        <f>IF(D95="","-",+C141+1)</f>
        <v>-</v>
      </c>
      <c r="D142" s="491">
        <f t="shared" si="1"/>
        <v>0</v>
      </c>
      <c r="E142" s="541">
        <f t="shared" si="5"/>
        <v>0</v>
      </c>
      <c r="F142" s="491">
        <f t="shared" si="0"/>
        <v>0</v>
      </c>
      <c r="G142" s="535">
        <v>0</v>
      </c>
      <c r="H142" s="542">
        <f t="shared" si="3"/>
        <v>0</v>
      </c>
      <c r="I142" s="538">
        <f t="shared" si="4"/>
        <v>0</v>
      </c>
      <c r="J142" s="538"/>
      <c r="K142" s="673"/>
      <c r="L142" s="544"/>
      <c r="M142" s="673"/>
      <c r="N142" s="544"/>
      <c r="O142" s="544"/>
      <c r="P142" s="493"/>
    </row>
    <row r="143" spans="3:16">
      <c r="C143" s="534" t="str">
        <f>IF(D95="","-",+C142+1)</f>
        <v>-</v>
      </c>
      <c r="D143" s="491">
        <f t="shared" si="1"/>
        <v>0</v>
      </c>
      <c r="E143" s="541">
        <f t="shared" si="5"/>
        <v>0</v>
      </c>
      <c r="F143" s="491">
        <f t="shared" si="0"/>
        <v>0</v>
      </c>
      <c r="G143" s="535">
        <f t="shared" si="2"/>
        <v>0</v>
      </c>
      <c r="H143" s="542">
        <f t="shared" si="3"/>
        <v>0</v>
      </c>
      <c r="I143" s="538">
        <f t="shared" si="4"/>
        <v>0</v>
      </c>
      <c r="J143" s="538"/>
      <c r="K143" s="673"/>
      <c r="L143" s="544"/>
      <c r="M143" s="673"/>
      <c r="N143" s="544"/>
      <c r="O143" s="544"/>
      <c r="P143" s="493"/>
    </row>
    <row r="144" spans="3:16">
      <c r="C144" s="534" t="str">
        <f>IF(D95="","-",+C143+1)</f>
        <v>-</v>
      </c>
      <c r="D144" s="491">
        <f t="shared" si="1"/>
        <v>0</v>
      </c>
      <c r="E144" s="541">
        <f t="shared" si="5"/>
        <v>0</v>
      </c>
      <c r="F144" s="491">
        <f t="shared" si="0"/>
        <v>0</v>
      </c>
      <c r="G144" s="535">
        <f t="shared" si="2"/>
        <v>0</v>
      </c>
      <c r="H144" s="542">
        <f t="shared" si="3"/>
        <v>0</v>
      </c>
      <c r="I144" s="538">
        <f t="shared" si="4"/>
        <v>0</v>
      </c>
      <c r="J144" s="538"/>
      <c r="K144" s="673"/>
      <c r="L144" s="544"/>
      <c r="M144" s="673"/>
      <c r="N144" s="544"/>
      <c r="O144" s="544"/>
      <c r="P144" s="493"/>
    </row>
    <row r="145" spans="3:16">
      <c r="C145" s="534" t="str">
        <f>IF(D95="","-",+C144+1)</f>
        <v>-</v>
      </c>
      <c r="D145" s="491">
        <f t="shared" si="1"/>
        <v>0</v>
      </c>
      <c r="E145" s="541">
        <f t="shared" si="5"/>
        <v>0</v>
      </c>
      <c r="F145" s="491">
        <f t="shared" si="0"/>
        <v>0</v>
      </c>
      <c r="G145" s="535">
        <f t="shared" si="2"/>
        <v>0</v>
      </c>
      <c r="H145" s="542">
        <f t="shared" si="3"/>
        <v>0</v>
      </c>
      <c r="I145" s="538">
        <f t="shared" si="4"/>
        <v>0</v>
      </c>
      <c r="J145" s="538"/>
      <c r="K145" s="673"/>
      <c r="L145" s="544"/>
      <c r="M145" s="673"/>
      <c r="N145" s="544"/>
      <c r="O145" s="544"/>
      <c r="P145" s="493"/>
    </row>
    <row r="146" spans="3:16">
      <c r="C146" s="534" t="str">
        <f>IF(D95="","-",+C145+1)</f>
        <v>-</v>
      </c>
      <c r="D146" s="491">
        <f t="shared" si="1"/>
        <v>0</v>
      </c>
      <c r="E146" s="541">
        <f t="shared" si="5"/>
        <v>0</v>
      </c>
      <c r="F146" s="491">
        <f t="shared" si="0"/>
        <v>0</v>
      </c>
      <c r="G146" s="535">
        <f t="shared" si="2"/>
        <v>0</v>
      </c>
      <c r="H146" s="542">
        <f t="shared" si="3"/>
        <v>0</v>
      </c>
      <c r="I146" s="538">
        <f t="shared" si="4"/>
        <v>0</v>
      </c>
      <c r="J146" s="538"/>
      <c r="K146" s="673"/>
      <c r="L146" s="544"/>
      <c r="M146" s="673"/>
      <c r="N146" s="544"/>
      <c r="O146" s="544"/>
      <c r="P146" s="493"/>
    </row>
    <row r="147" spans="3:16">
      <c r="C147" s="534" t="str">
        <f>IF(D95="","-",+C146+1)</f>
        <v>-</v>
      </c>
      <c r="D147" s="491">
        <f t="shared" si="1"/>
        <v>0</v>
      </c>
      <c r="E147" s="541">
        <f t="shared" si="5"/>
        <v>0</v>
      </c>
      <c r="F147" s="491">
        <f t="shared" si="0"/>
        <v>0</v>
      </c>
      <c r="G147" s="535">
        <f t="shared" si="2"/>
        <v>0</v>
      </c>
      <c r="H147" s="542">
        <f t="shared" si="3"/>
        <v>0</v>
      </c>
      <c r="I147" s="538">
        <f t="shared" si="4"/>
        <v>0</v>
      </c>
      <c r="J147" s="538"/>
      <c r="K147" s="673"/>
      <c r="L147" s="544"/>
      <c r="M147" s="673"/>
      <c r="N147" s="544"/>
      <c r="O147" s="544"/>
      <c r="P147" s="493"/>
    </row>
    <row r="148" spans="3:16">
      <c r="C148" s="534" t="str">
        <f>IF(D95="","-",+C147+1)</f>
        <v>-</v>
      </c>
      <c r="D148" s="491">
        <f t="shared" si="1"/>
        <v>0</v>
      </c>
      <c r="E148" s="541">
        <f t="shared" si="5"/>
        <v>0</v>
      </c>
      <c r="F148" s="491">
        <f t="shared" si="0"/>
        <v>0</v>
      </c>
      <c r="G148" s="535">
        <f t="shared" si="2"/>
        <v>0</v>
      </c>
      <c r="H148" s="542">
        <f t="shared" si="3"/>
        <v>0</v>
      </c>
      <c r="I148" s="538">
        <f t="shared" si="4"/>
        <v>0</v>
      </c>
      <c r="J148" s="538"/>
      <c r="K148" s="673"/>
      <c r="L148" s="544"/>
      <c r="M148" s="673"/>
      <c r="N148" s="544"/>
      <c r="O148" s="544"/>
      <c r="P148" s="493"/>
    </row>
    <row r="149" spans="3:16">
      <c r="C149" s="534" t="str">
        <f>IF(D95="","-",+C148+1)</f>
        <v>-</v>
      </c>
      <c r="D149" s="491">
        <f t="shared" si="1"/>
        <v>0</v>
      </c>
      <c r="E149" s="541">
        <f t="shared" si="5"/>
        <v>0</v>
      </c>
      <c r="F149" s="491">
        <f t="shared" si="0"/>
        <v>0</v>
      </c>
      <c r="G149" s="535">
        <f t="shared" si="2"/>
        <v>0</v>
      </c>
      <c r="H149" s="542">
        <f t="shared" si="3"/>
        <v>0</v>
      </c>
      <c r="I149" s="538">
        <f t="shared" si="4"/>
        <v>0</v>
      </c>
      <c r="J149" s="538"/>
      <c r="K149" s="673"/>
      <c r="L149" s="544"/>
      <c r="M149" s="673"/>
      <c r="N149" s="544"/>
      <c r="O149" s="544"/>
      <c r="P149" s="493"/>
    </row>
    <row r="150" spans="3:16">
      <c r="C150" s="534" t="str">
        <f>IF(D95="","-",+C149+1)</f>
        <v>-</v>
      </c>
      <c r="D150" s="491">
        <f t="shared" si="1"/>
        <v>0</v>
      </c>
      <c r="E150" s="541">
        <f t="shared" si="5"/>
        <v>0</v>
      </c>
      <c r="F150" s="491">
        <f t="shared" si="0"/>
        <v>0</v>
      </c>
      <c r="G150" s="535">
        <f t="shared" si="2"/>
        <v>0</v>
      </c>
      <c r="H150" s="542">
        <f t="shared" si="3"/>
        <v>0</v>
      </c>
      <c r="I150" s="538">
        <f t="shared" si="4"/>
        <v>0</v>
      </c>
      <c r="J150" s="538"/>
      <c r="K150" s="673"/>
      <c r="L150" s="544"/>
      <c r="M150" s="673"/>
      <c r="N150" s="544"/>
      <c r="O150" s="544"/>
      <c r="P150" s="493"/>
    </row>
    <row r="151" spans="3:16">
      <c r="C151" s="534" t="str">
        <f>IF(D95="","-",+C150+1)</f>
        <v>-</v>
      </c>
      <c r="D151" s="491">
        <f t="shared" si="1"/>
        <v>0</v>
      </c>
      <c r="E151" s="541">
        <f t="shared" si="5"/>
        <v>0</v>
      </c>
      <c r="F151" s="491">
        <f t="shared" si="0"/>
        <v>0</v>
      </c>
      <c r="G151" s="535">
        <f t="shared" si="2"/>
        <v>0</v>
      </c>
      <c r="H151" s="542">
        <f t="shared" si="3"/>
        <v>0</v>
      </c>
      <c r="I151" s="538">
        <f t="shared" si="4"/>
        <v>0</v>
      </c>
      <c r="J151" s="538"/>
      <c r="K151" s="673"/>
      <c r="L151" s="544"/>
      <c r="M151" s="673"/>
      <c r="N151" s="544"/>
      <c r="O151" s="544"/>
      <c r="P151" s="493"/>
    </row>
    <row r="152" spans="3:16">
      <c r="C152" s="534" t="str">
        <f>IF(D95="","-",+C151+1)</f>
        <v>-</v>
      </c>
      <c r="D152" s="491">
        <f t="shared" si="1"/>
        <v>0</v>
      </c>
      <c r="E152" s="541">
        <f t="shared" si="5"/>
        <v>0</v>
      </c>
      <c r="F152" s="491">
        <f t="shared" si="0"/>
        <v>0</v>
      </c>
      <c r="G152" s="535">
        <f t="shared" si="2"/>
        <v>0</v>
      </c>
      <c r="H152" s="542">
        <f t="shared" si="3"/>
        <v>0</v>
      </c>
      <c r="I152" s="538">
        <f t="shared" si="4"/>
        <v>0</v>
      </c>
      <c r="J152" s="538"/>
      <c r="K152" s="673"/>
      <c r="L152" s="544"/>
      <c r="M152" s="673"/>
      <c r="N152" s="544"/>
      <c r="O152" s="544"/>
      <c r="P152" s="493"/>
    </row>
    <row r="153" spans="3:16">
      <c r="C153" s="534" t="str">
        <f>IF(D95="","-",+C152+1)</f>
        <v>-</v>
      </c>
      <c r="D153" s="491">
        <f t="shared" si="1"/>
        <v>0</v>
      </c>
      <c r="E153" s="541">
        <f t="shared" si="5"/>
        <v>0</v>
      </c>
      <c r="F153" s="491">
        <f t="shared" si="0"/>
        <v>0</v>
      </c>
      <c r="G153" s="535">
        <f t="shared" si="2"/>
        <v>0</v>
      </c>
      <c r="H153" s="542">
        <f t="shared" si="3"/>
        <v>0</v>
      </c>
      <c r="I153" s="538">
        <f t="shared" si="4"/>
        <v>0</v>
      </c>
      <c r="J153" s="538"/>
      <c r="K153" s="673"/>
      <c r="L153" s="544"/>
      <c r="M153" s="673"/>
      <c r="N153" s="544"/>
      <c r="O153" s="544"/>
      <c r="P153" s="493"/>
    </row>
    <row r="154" spans="3:16">
      <c r="C154" s="534" t="str">
        <f>IF(D95="","-",+C153+1)</f>
        <v>-</v>
      </c>
      <c r="D154" s="491">
        <f t="shared" si="1"/>
        <v>0</v>
      </c>
      <c r="E154" s="541">
        <f t="shared" si="5"/>
        <v>0</v>
      </c>
      <c r="F154" s="491">
        <f t="shared" si="0"/>
        <v>0</v>
      </c>
      <c r="G154" s="535">
        <f t="shared" si="2"/>
        <v>0</v>
      </c>
      <c r="H154" s="542">
        <f t="shared" si="3"/>
        <v>0</v>
      </c>
      <c r="I154" s="538">
        <f t="shared" si="4"/>
        <v>0</v>
      </c>
      <c r="J154" s="538"/>
      <c r="K154" s="673"/>
      <c r="L154" s="544"/>
      <c r="M154" s="673"/>
      <c r="N154" s="544"/>
      <c r="O154" s="544"/>
      <c r="P154" s="493"/>
    </row>
    <row r="155" spans="3:16">
      <c r="C155" s="534" t="str">
        <f>IF(D95="","-",+C154+1)</f>
        <v>-</v>
      </c>
      <c r="D155" s="491">
        <f t="shared" si="1"/>
        <v>0</v>
      </c>
      <c r="E155" s="541">
        <f t="shared" si="5"/>
        <v>0</v>
      </c>
      <c r="F155" s="491">
        <f t="shared" si="0"/>
        <v>0</v>
      </c>
      <c r="G155" s="535">
        <f t="shared" si="2"/>
        <v>0</v>
      </c>
      <c r="H155" s="542">
        <f t="shared" si="3"/>
        <v>0</v>
      </c>
      <c r="I155" s="538">
        <f t="shared" si="4"/>
        <v>0</v>
      </c>
      <c r="J155" s="538"/>
      <c r="K155" s="673"/>
      <c r="L155" s="544"/>
      <c r="M155" s="673"/>
      <c r="N155" s="544"/>
      <c r="O155" s="544"/>
      <c r="P155" s="493"/>
    </row>
    <row r="156" spans="3:16">
      <c r="C156" s="534" t="str">
        <f>IF(D95="","-",+C155+1)</f>
        <v>-</v>
      </c>
      <c r="D156" s="491">
        <f t="shared" si="1"/>
        <v>0</v>
      </c>
      <c r="E156" s="541">
        <f t="shared" si="5"/>
        <v>0</v>
      </c>
      <c r="F156" s="491">
        <f t="shared" si="0"/>
        <v>0</v>
      </c>
      <c r="G156" s="535">
        <f t="shared" si="2"/>
        <v>0</v>
      </c>
      <c r="H156" s="542">
        <f t="shared" si="3"/>
        <v>0</v>
      </c>
      <c r="I156" s="538">
        <f t="shared" si="4"/>
        <v>0</v>
      </c>
      <c r="J156" s="538"/>
      <c r="K156" s="673"/>
      <c r="L156" s="544"/>
      <c r="M156" s="673"/>
      <c r="N156" s="544"/>
      <c r="O156" s="544"/>
      <c r="P156" s="493"/>
    </row>
    <row r="157" spans="3:16">
      <c r="C157" s="534" t="str">
        <f>IF(D95="","-",+C156+1)</f>
        <v>-</v>
      </c>
      <c r="D157" s="491">
        <f t="shared" si="1"/>
        <v>0</v>
      </c>
      <c r="E157" s="541">
        <f t="shared" si="5"/>
        <v>0</v>
      </c>
      <c r="F157" s="491">
        <f t="shared" si="0"/>
        <v>0</v>
      </c>
      <c r="G157" s="535">
        <f t="shared" si="2"/>
        <v>0</v>
      </c>
      <c r="H157" s="542">
        <f t="shared" si="3"/>
        <v>0</v>
      </c>
      <c r="I157" s="538">
        <f t="shared" si="4"/>
        <v>0</v>
      </c>
      <c r="J157" s="538"/>
      <c r="K157" s="673"/>
      <c r="L157" s="544"/>
      <c r="M157" s="673"/>
      <c r="N157" s="544"/>
      <c r="O157" s="544"/>
      <c r="P157" s="493"/>
    </row>
    <row r="158" spans="3:16">
      <c r="C158" s="534" t="str">
        <f>IF(D95="","-",+C157+1)</f>
        <v>-</v>
      </c>
      <c r="D158" s="491">
        <f t="shared" si="1"/>
        <v>0</v>
      </c>
      <c r="E158" s="541">
        <f t="shared" si="5"/>
        <v>0</v>
      </c>
      <c r="F158" s="491">
        <f t="shared" si="0"/>
        <v>0</v>
      </c>
      <c r="G158" s="535">
        <f t="shared" si="2"/>
        <v>0</v>
      </c>
      <c r="H158" s="542">
        <f t="shared" si="3"/>
        <v>0</v>
      </c>
      <c r="I158" s="538">
        <f t="shared" si="4"/>
        <v>0</v>
      </c>
      <c r="J158" s="538"/>
      <c r="K158" s="673"/>
      <c r="L158" s="544"/>
      <c r="M158" s="673"/>
      <c r="N158" s="544"/>
      <c r="O158" s="544"/>
      <c r="P158" s="493"/>
    </row>
    <row r="159" spans="3:16">
      <c r="C159" s="534" t="str">
        <f>IF(D95="","-",+C158+1)</f>
        <v>-</v>
      </c>
      <c r="D159" s="491">
        <f t="shared" si="1"/>
        <v>0</v>
      </c>
      <c r="E159" s="541">
        <f t="shared" si="5"/>
        <v>0</v>
      </c>
      <c r="F159" s="491">
        <f t="shared" si="0"/>
        <v>0</v>
      </c>
      <c r="G159" s="535">
        <f t="shared" si="2"/>
        <v>0</v>
      </c>
      <c r="H159" s="542">
        <f t="shared" si="3"/>
        <v>0</v>
      </c>
      <c r="I159" s="538">
        <f t="shared" si="4"/>
        <v>0</v>
      </c>
      <c r="J159" s="538"/>
      <c r="K159" s="673"/>
      <c r="L159" s="544"/>
      <c r="M159" s="673"/>
      <c r="N159" s="544"/>
      <c r="O159" s="544"/>
      <c r="P159" s="493"/>
    </row>
    <row r="160" spans="3:16" ht="13.5" thickBot="1">
      <c r="C160" s="546" t="str">
        <f>IF(D95="","-",+C159+1)</f>
        <v>-</v>
      </c>
      <c r="D160" s="547">
        <f t="shared" si="1"/>
        <v>0</v>
      </c>
      <c r="E160" s="548">
        <f t="shared" si="5"/>
        <v>0</v>
      </c>
      <c r="F160" s="547">
        <f t="shared" si="0"/>
        <v>0</v>
      </c>
      <c r="G160" s="549">
        <f t="shared" si="2"/>
        <v>0</v>
      </c>
      <c r="H160" s="549">
        <f t="shared" si="3"/>
        <v>0</v>
      </c>
      <c r="I160" s="550">
        <f t="shared" si="4"/>
        <v>0</v>
      </c>
      <c r="J160" s="538"/>
      <c r="K160" s="674"/>
      <c r="L160" s="552"/>
      <c r="M160" s="674"/>
      <c r="N160" s="552"/>
      <c r="O160" s="552"/>
      <c r="P160" s="493"/>
    </row>
    <row r="161" spans="3:16">
      <c r="C161" s="491" t="s">
        <v>290</v>
      </c>
      <c r="D161" s="489"/>
      <c r="E161" s="489">
        <f>SUM(E101:E160)</f>
        <v>0</v>
      </c>
      <c r="F161" s="489"/>
      <c r="G161" s="489">
        <f>SUM(G101:G160)</f>
        <v>0</v>
      </c>
      <c r="H161" s="489">
        <f>SUM(H101:H160)</f>
        <v>0</v>
      </c>
      <c r="I161" s="489">
        <f>SUM(I101:I160)</f>
        <v>0</v>
      </c>
      <c r="J161" s="489"/>
      <c r="K161" s="489"/>
      <c r="L161" s="489"/>
      <c r="M161" s="489"/>
      <c r="N161" s="489"/>
      <c r="O161" s="4"/>
      <c r="P161" s="489"/>
    </row>
    <row r="162" spans="3:16">
      <c r="D162" s="81"/>
      <c r="E162" s="4"/>
      <c r="F162" s="4"/>
      <c r="G162" s="4"/>
      <c r="H162" s="474"/>
      <c r="I162" s="474"/>
      <c r="J162" s="489"/>
      <c r="K162" s="474"/>
      <c r="L162" s="474"/>
      <c r="M162" s="474"/>
      <c r="N162" s="474"/>
      <c r="O162" s="4"/>
      <c r="P162" s="489"/>
    </row>
    <row r="163" spans="3:16">
      <c r="C163" s="4" t="s">
        <v>603</v>
      </c>
      <c r="D163" s="81"/>
      <c r="E163" s="4"/>
      <c r="F163" s="4"/>
      <c r="G163" s="4"/>
      <c r="H163" s="474"/>
      <c r="I163" s="474"/>
      <c r="J163" s="489"/>
      <c r="K163" s="474"/>
      <c r="L163" s="474"/>
      <c r="M163" s="474"/>
      <c r="N163" s="474"/>
      <c r="O163" s="4"/>
      <c r="P163" s="489"/>
    </row>
    <row r="164" spans="3:16">
      <c r="D164" s="81"/>
      <c r="E164" s="4"/>
      <c r="F164" s="4"/>
      <c r="G164" s="4"/>
      <c r="H164" s="474"/>
      <c r="I164" s="474"/>
      <c r="J164" s="489"/>
      <c r="K164" s="474"/>
      <c r="L164" s="474"/>
      <c r="M164" s="474"/>
      <c r="N164" s="474"/>
      <c r="O164" s="4"/>
      <c r="P164" s="489"/>
    </row>
    <row r="165" spans="3:16">
      <c r="C165" s="4" t="s">
        <v>604</v>
      </c>
      <c r="D165" s="491"/>
      <c r="E165" s="491"/>
      <c r="F165" s="491"/>
      <c r="G165" s="489"/>
      <c r="H165" s="489"/>
      <c r="I165" s="493"/>
      <c r="J165" s="493"/>
      <c r="K165" s="493"/>
      <c r="L165" s="493"/>
      <c r="M165" s="493"/>
      <c r="N165" s="493"/>
      <c r="O165" s="4"/>
      <c r="P165" s="493"/>
    </row>
    <row r="166" spans="3:16">
      <c r="C166" s="4" t="s">
        <v>478</v>
      </c>
      <c r="D166" s="491"/>
      <c r="E166" s="491"/>
      <c r="F166" s="491"/>
      <c r="G166" s="489"/>
      <c r="H166" s="489"/>
      <c r="I166" s="493"/>
      <c r="J166" s="493"/>
      <c r="K166" s="493"/>
      <c r="L166" s="493"/>
      <c r="M166" s="493"/>
      <c r="N166" s="493"/>
      <c r="O166" s="4"/>
      <c r="P166" s="493"/>
    </row>
    <row r="167" spans="3:16">
      <c r="C167" s="4" t="s">
        <v>291</v>
      </c>
      <c r="D167" s="491"/>
      <c r="E167" s="491"/>
      <c r="F167" s="491"/>
      <c r="G167" s="489"/>
      <c r="H167" s="489"/>
      <c r="I167" s="493"/>
      <c r="J167" s="493"/>
      <c r="K167" s="493"/>
      <c r="L167" s="493"/>
      <c r="M167" s="493"/>
      <c r="N167" s="493"/>
      <c r="O167" s="4"/>
      <c r="P167" s="493"/>
    </row>
    <row r="168" spans="3:16">
      <c r="C168" s="492"/>
      <c r="D168" s="491"/>
      <c r="E168" s="491"/>
      <c r="F168" s="491"/>
      <c r="G168" s="489"/>
      <c r="H168" s="489"/>
      <c r="I168" s="493"/>
      <c r="J168" s="493"/>
      <c r="K168" s="493"/>
      <c r="L168" s="493"/>
      <c r="M168" s="493"/>
      <c r="N168" s="493"/>
      <c r="O168" s="4"/>
      <c r="P168" s="493"/>
    </row>
    <row r="169" spans="3:16">
      <c r="C169" s="1251" t="s">
        <v>462</v>
      </c>
      <c r="D169" s="1251"/>
      <c r="E169" s="1251"/>
      <c r="F169" s="1251"/>
      <c r="G169" s="1251"/>
      <c r="H169" s="1251"/>
      <c r="I169" s="1251"/>
      <c r="J169" s="1251"/>
      <c r="K169" s="1251"/>
      <c r="L169" s="1251"/>
      <c r="M169" s="1251"/>
      <c r="N169" s="1251"/>
      <c r="O169" s="1251"/>
    </row>
    <row r="170" spans="3:16">
      <c r="C170" s="1251"/>
      <c r="D170" s="1251"/>
      <c r="E170" s="1251"/>
      <c r="F170" s="1251"/>
      <c r="G170" s="1251"/>
      <c r="H170" s="1251"/>
      <c r="I170" s="1251"/>
      <c r="J170" s="1251"/>
      <c r="K170" s="1251"/>
      <c r="L170" s="1251"/>
      <c r="M170" s="1251"/>
      <c r="N170" s="1251"/>
      <c r="O170" s="1251"/>
    </row>
  </sheetData>
  <mergeCells count="9">
    <mergeCell ref="D90:G90"/>
    <mergeCell ref="K94:O94"/>
    <mergeCell ref="C169:O170"/>
    <mergeCell ref="K22:O23"/>
    <mergeCell ref="A3:O3"/>
    <mergeCell ref="C11:H12"/>
    <mergeCell ref="A4:O4"/>
    <mergeCell ref="A5:O5"/>
    <mergeCell ref="A6:O6"/>
  </mergeCells>
  <phoneticPr fontId="0" type="noConversion"/>
  <conditionalFormatting sqref="C101:C160">
    <cfRule type="cellIs" dxfId="18" priority="11" stopIfTrue="1" operator="equal">
      <formula>$I$92</formula>
    </cfRule>
  </conditionalFormatting>
  <pageMargins left="0.26" right="1.28" top="1" bottom="0.5" header="0.75" footer="0.5"/>
  <pageSetup scale="41" fitToHeight="2" orientation="landscape" r:id="rId1"/>
  <headerFooter alignWithMargins="0">
    <oddHeader>&amp;R&amp;"Arial,Bold"Formula Rate 
&amp;A
Page &amp;P of &amp;N</oddHeader>
  </headerFooter>
  <rowBreaks count="2" manualBreakCount="2">
    <brk id="81" max="14" man="1"/>
    <brk id="170" max="1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Q169"/>
  <sheetViews>
    <sheetView tabSelected="1" view="pageBreakPreview" topLeftCell="A65" zoomScale="85" zoomScaleNormal="100" zoomScaleSheetLayoutView="85" workbookViewId="0">
      <selection activeCell="D9" sqref="D9"/>
    </sheetView>
  </sheetViews>
  <sheetFormatPr defaultColWidth="8.85546875" defaultRowHeight="12.75"/>
  <cols>
    <col min="1" max="1" width="4.5703125" customWidth="1"/>
    <col min="2" max="2" width="6.5703125" customWidth="1"/>
    <col min="3" max="3" width="32.42578125" customWidth="1"/>
    <col min="4" max="4" width="17.5703125" style="1" customWidth="1"/>
    <col min="5" max="8" width="17.5703125" customWidth="1"/>
    <col min="9" max="9" width="17.5703125" style="432" customWidth="1"/>
    <col min="10" max="10" width="17.5703125" bestFit="1" customWidth="1"/>
    <col min="11" max="11" width="2.140625" customWidth="1"/>
    <col min="12" max="12" width="17.5703125" style="4" customWidth="1"/>
    <col min="13" max="13" width="31.85546875" style="4" customWidth="1"/>
    <col min="14" max="15" width="17.5703125" style="4" customWidth="1"/>
    <col min="16" max="16" width="16.5703125" style="4" customWidth="1"/>
    <col min="17" max="17" width="2.140625" style="4" customWidth="1"/>
  </cols>
  <sheetData>
    <row r="1" spans="1:17" ht="15.75">
      <c r="A1" s="693" t="s">
        <v>116</v>
      </c>
    </row>
    <row r="2" spans="1:17" ht="15.75">
      <c r="A2" s="693" t="s">
        <v>116</v>
      </c>
    </row>
    <row r="3" spans="1:17" ht="15">
      <c r="A3" s="1210" t="s">
        <v>389</v>
      </c>
      <c r="B3" s="1210"/>
      <c r="C3" s="1210"/>
      <c r="D3" s="1210"/>
      <c r="E3" s="1210"/>
      <c r="F3" s="1210"/>
      <c r="G3" s="1210"/>
      <c r="H3" s="1210"/>
      <c r="I3" s="1210"/>
      <c r="J3" s="1210"/>
      <c r="K3" s="1210"/>
      <c r="L3" s="1210"/>
      <c r="M3" s="1210"/>
      <c r="N3" s="1210"/>
      <c r="O3" s="1210"/>
      <c r="P3" s="1210"/>
    </row>
    <row r="4" spans="1:17" ht="15">
      <c r="A4" s="1211" t="str">
        <f>"Cost of Service Formula Rate Using "&amp;TCOS!L4&amp;" FF1 Balances"</f>
        <v>Cost of Service Formula Rate Using 2025 FF1 Balances</v>
      </c>
      <c r="B4" s="1211"/>
      <c r="C4" s="1211"/>
      <c r="D4" s="1211"/>
      <c r="E4" s="1211"/>
      <c r="F4" s="1211"/>
      <c r="G4" s="1211"/>
      <c r="H4" s="1211"/>
      <c r="I4" s="1211"/>
      <c r="J4" s="1211"/>
      <c r="K4" s="1211"/>
      <c r="L4" s="1211"/>
      <c r="M4" s="1211"/>
      <c r="N4" s="1211"/>
      <c r="O4" s="1211"/>
      <c r="P4" s="1211"/>
    </row>
    <row r="5" spans="1:17" ht="15">
      <c r="A5" s="1211" t="s">
        <v>471</v>
      </c>
      <c r="B5" s="1211"/>
      <c r="C5" s="1211"/>
      <c r="D5" s="1211"/>
      <c r="E5" s="1211"/>
      <c r="F5" s="1211"/>
      <c r="G5" s="1211"/>
      <c r="H5" s="1211"/>
      <c r="I5" s="1211"/>
      <c r="J5" s="1211"/>
      <c r="K5" s="1211"/>
      <c r="L5" s="1211"/>
      <c r="M5" s="1211"/>
      <c r="N5" s="1211"/>
      <c r="O5" s="1211"/>
      <c r="P5" s="1211"/>
    </row>
    <row r="6" spans="1:17" ht="15">
      <c r="A6" s="1219" t="str">
        <f>TCOS!F9</f>
        <v>KENTUCKY POWER COMPANY</v>
      </c>
      <c r="B6" s="1219"/>
      <c r="C6" s="1219"/>
      <c r="D6" s="1219"/>
      <c r="E6" s="1219"/>
      <c r="F6" s="1219"/>
      <c r="G6" s="1219"/>
      <c r="H6" s="1219"/>
      <c r="I6" s="1219"/>
      <c r="J6" s="1219"/>
      <c r="K6" s="1219"/>
      <c r="L6" s="1219"/>
      <c r="M6" s="1219"/>
      <c r="N6" s="1219"/>
      <c r="O6" s="1219"/>
      <c r="P6" s="1219"/>
    </row>
    <row r="8" spans="1:17" ht="20.25">
      <c r="A8" s="433"/>
      <c r="O8" s="11" t="str">
        <f>"Page "&amp;Q8&amp;" of "</f>
        <v xml:space="preserve">Page 1 of </v>
      </c>
      <c r="P8" s="434">
        <f>COUNT(Q$8:Q$58122)</f>
        <v>2</v>
      </c>
      <c r="Q8" s="11">
        <v>1</v>
      </c>
    </row>
    <row r="9" spans="1:17" ht="18">
      <c r="C9" s="13"/>
    </row>
    <row r="11" spans="1:17" ht="18">
      <c r="B11" s="435" t="s">
        <v>173</v>
      </c>
      <c r="C11" s="1258" t="str">
        <f>"Calculate Return and Income Taxes with "&amp;F17&amp;" basis point ROE increase for Projects Qualified for Regional Billing."</f>
        <v>Calculate Return and Income Taxes with 0 basis point ROE increase for Projects Qualified for Regional Billing.</v>
      </c>
      <c r="D11" s="1259"/>
      <c r="E11" s="1259"/>
      <c r="F11" s="1259"/>
      <c r="G11" s="1259"/>
      <c r="H11" s="1259"/>
      <c r="I11" s="1259"/>
    </row>
    <row r="12" spans="1:17" ht="18.75" customHeight="1">
      <c r="C12" s="1259"/>
      <c r="D12" s="1259"/>
      <c r="E12" s="1259"/>
      <c r="F12" s="1259"/>
      <c r="G12" s="1259"/>
      <c r="H12" s="1259"/>
      <c r="I12" s="1259"/>
    </row>
    <row r="13" spans="1:17" ht="15.75" customHeight="1">
      <c r="C13" s="12"/>
      <c r="D13" s="12"/>
      <c r="E13" s="12"/>
      <c r="F13" s="12"/>
      <c r="G13" s="12"/>
      <c r="H13" s="12"/>
      <c r="I13" s="12"/>
    </row>
    <row r="14" spans="1:17" ht="15.75">
      <c r="C14" s="436" t="str">
        <f>"A.   Determine 'R' with hypothetical "&amp;F17&amp;" basis point increase in ROE for Identified Projects"</f>
        <v>A.   Determine 'R' with hypothetical 0 basis point increase in ROE for Identified Projects</v>
      </c>
      <c r="D14" s="305"/>
    </row>
    <row r="15" spans="1:17">
      <c r="C15" s="72"/>
      <c r="D15" s="305"/>
    </row>
    <row r="16" spans="1:17">
      <c r="C16" s="437" t="str">
        <f>"   ROE w/o incentives  (TCOS, ln "&amp;TCOS!B273&amp;")"</f>
        <v xml:space="preserve">   ROE w/o incentives  (TCOS, ln 156)</v>
      </c>
      <c r="D16" s="305"/>
      <c r="E16" s="438"/>
      <c r="F16" s="554">
        <f>TCOS!J273</f>
        <v>0.10349999999999999</v>
      </c>
      <c r="G16" s="554"/>
      <c r="H16" s="438"/>
      <c r="I16" s="440"/>
      <c r="J16" s="440"/>
      <c r="K16" s="440"/>
      <c r="L16" s="440"/>
      <c r="M16" s="440"/>
      <c r="N16" s="440"/>
      <c r="O16" s="440"/>
      <c r="P16" s="440"/>
      <c r="Q16" s="440"/>
    </row>
    <row r="17" spans="3:17" ht="13.5" thickBot="1">
      <c r="C17" s="437" t="s">
        <v>254</v>
      </c>
      <c r="D17" s="305"/>
      <c r="E17" s="438"/>
      <c r="F17" s="666">
        <v>0</v>
      </c>
      <c r="G17" s="438"/>
      <c r="H17" s="438"/>
      <c r="I17" s="440"/>
      <c r="J17" s="440"/>
      <c r="K17" s="440"/>
      <c r="L17" s="440"/>
      <c r="M17" s="440"/>
      <c r="N17" s="440"/>
      <c r="O17" s="440"/>
      <c r="P17" s="440"/>
      <c r="Q17" s="440"/>
    </row>
    <row r="18" spans="3:17">
      <c r="C18" s="437" t="str">
        <f>"   ROE with additional "&amp;F17&amp;" basis point incentive"</f>
        <v xml:space="preserve">   ROE with additional 0 basis point incentive</v>
      </c>
      <c r="D18" s="438"/>
      <c r="E18" s="438"/>
      <c r="F18" s="441">
        <f>IF((F16+(F17/10000)&gt;0.125),"ERROR",F16+(F17/10000))</f>
        <v>0.10349999999999999</v>
      </c>
      <c r="G18" s="442"/>
      <c r="H18" s="438"/>
      <c r="I18" s="440"/>
      <c r="J18" s="440"/>
      <c r="K18" s="440"/>
      <c r="L18" s="555" t="s">
        <v>456</v>
      </c>
      <c r="M18" s="556"/>
      <c r="N18" s="556"/>
      <c r="O18" s="556"/>
      <c r="P18" s="557"/>
      <c r="Q18" s="440"/>
    </row>
    <row r="19" spans="3:17">
      <c r="C19" s="437"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D19" s="305"/>
      <c r="E19" s="438"/>
      <c r="F19" s="443"/>
      <c r="G19" s="443"/>
      <c r="H19" s="438"/>
      <c r="I19" s="440"/>
      <c r="J19" s="440"/>
      <c r="K19" s="440"/>
      <c r="L19" s="558"/>
      <c r="M19" s="440"/>
      <c r="N19" s="440" t="s">
        <v>256</v>
      </c>
      <c r="O19" s="440" t="s">
        <v>257</v>
      </c>
      <c r="P19" s="559" t="s">
        <v>258</v>
      </c>
      <c r="Q19" s="440"/>
    </row>
    <row r="20" spans="3:17">
      <c r="C20" s="440"/>
      <c r="D20" s="444" t="s">
        <v>148</v>
      </c>
      <c r="E20" s="444" t="s">
        <v>147</v>
      </c>
      <c r="F20" s="445" t="s">
        <v>255</v>
      </c>
      <c r="G20" s="445"/>
      <c r="H20" s="438"/>
      <c r="I20" s="440"/>
      <c r="J20" s="440"/>
      <c r="K20" s="440"/>
      <c r="L20" s="558" t="s">
        <v>454</v>
      </c>
      <c r="M20" s="560">
        <f>+TCOS!L4</f>
        <v>2025</v>
      </c>
      <c r="P20" s="561"/>
      <c r="Q20" s="440"/>
    </row>
    <row r="21" spans="3:17">
      <c r="C21" s="446" t="s">
        <v>259</v>
      </c>
      <c r="D21" s="562">
        <f>TCOS!H271</f>
        <v>0.5412227773367958</v>
      </c>
      <c r="E21" s="447">
        <f>TCOS!J271</f>
        <v>5.5852120811229429E-2</v>
      </c>
      <c r="F21" s="448">
        <f>E21*D21</f>
        <v>3.0228439945603845E-2</v>
      </c>
      <c r="G21" s="448"/>
      <c r="H21" s="438"/>
      <c r="I21" s="440"/>
      <c r="J21" s="449"/>
      <c r="K21" s="449"/>
      <c r="L21" s="514"/>
      <c r="M21" s="563" t="s">
        <v>455</v>
      </c>
      <c r="N21" s="675">
        <f>M90</f>
        <v>0</v>
      </c>
      <c r="O21" s="675">
        <f>N90</f>
        <v>0</v>
      </c>
      <c r="P21" s="564">
        <f>+O21-N21</f>
        <v>0</v>
      </c>
      <c r="Q21" s="449"/>
    </row>
    <row r="22" spans="3:17" ht="13.5" thickBot="1">
      <c r="C22" s="446" t="s">
        <v>260</v>
      </c>
      <c r="D22" s="562">
        <f>TCOS!H272</f>
        <v>0</v>
      </c>
      <c r="E22" s="447">
        <f>TCOS!J272</f>
        <v>0</v>
      </c>
      <c r="F22" s="448">
        <f>E22*D22</f>
        <v>0</v>
      </c>
      <c r="G22" s="448"/>
      <c r="H22" s="450"/>
      <c r="I22" s="450"/>
      <c r="J22" s="451"/>
      <c r="K22" s="451"/>
      <c r="L22" s="514"/>
      <c r="M22" s="563" t="s">
        <v>261</v>
      </c>
      <c r="N22" s="676">
        <f>M91</f>
        <v>0</v>
      </c>
      <c r="O22" s="676">
        <f>N91</f>
        <v>0</v>
      </c>
      <c r="P22" s="565">
        <f>+O22-N22</f>
        <v>0</v>
      </c>
      <c r="Q22" s="451"/>
    </row>
    <row r="23" spans="3:17">
      <c r="C23" s="446" t="s">
        <v>246</v>
      </c>
      <c r="D23" s="562">
        <f>TCOS!H273</f>
        <v>0.45877722266320414</v>
      </c>
      <c r="E23" s="447">
        <f>+F18</f>
        <v>0.10349999999999999</v>
      </c>
      <c r="F23" s="452">
        <f>E23*D23</f>
        <v>4.748344254564163E-2</v>
      </c>
      <c r="G23" s="452"/>
      <c r="H23" s="450"/>
      <c r="I23" s="450"/>
      <c r="J23" s="451"/>
      <c r="K23" s="451"/>
      <c r="L23" s="514"/>
      <c r="M23" s="563" t="str">
        <f>"True-up of ARR For "&amp;TCOS!L4&amp;""</f>
        <v>True-up of ARR For 2025</v>
      </c>
      <c r="N23" s="491">
        <f>+N22-N21</f>
        <v>0</v>
      </c>
      <c r="O23" s="491">
        <f>+O22-O21</f>
        <v>0</v>
      </c>
      <c r="P23" s="566">
        <f>+P22-P21</f>
        <v>0</v>
      </c>
      <c r="Q23" s="451"/>
    </row>
    <row r="24" spans="3:17">
      <c r="C24" s="437"/>
      <c r="D24"/>
      <c r="E24" s="453" t="s">
        <v>262</v>
      </c>
      <c r="F24" s="448">
        <f>SUM(F21:F23)</f>
        <v>7.7711882491245471E-2</v>
      </c>
      <c r="G24" s="448"/>
      <c r="H24" s="450"/>
      <c r="I24" s="450"/>
      <c r="J24" s="451"/>
      <c r="K24" s="451"/>
      <c r="L24" s="514"/>
      <c r="P24" s="561"/>
      <c r="Q24" s="451"/>
    </row>
    <row r="25" spans="3:17" ht="13.5" thickBot="1">
      <c r="C25" s="72"/>
      <c r="D25" s="458"/>
      <c r="E25" s="458"/>
      <c r="F25" s="450"/>
      <c r="G25" s="450"/>
      <c r="H25" s="450"/>
      <c r="I25" s="450"/>
      <c r="J25" s="450"/>
      <c r="K25" s="450"/>
      <c r="L25" s="567"/>
      <c r="M25" s="568"/>
      <c r="N25" s="569"/>
      <c r="O25" s="569"/>
      <c r="P25" s="565"/>
      <c r="Q25" s="450"/>
    </row>
    <row r="26" spans="3:17" ht="15.75">
      <c r="C26" s="436" t="str">
        <f>"B.   Determine Return using 'R' with hypothetical "&amp;F17&amp;" basis point ROE increase for Identified Projects."</f>
        <v>B.   Determine Return using 'R' with hypothetical 0 basis point ROE increase for Identified Projects.</v>
      </c>
      <c r="D26" s="458"/>
      <c r="E26" s="458"/>
      <c r="F26" s="450"/>
      <c r="G26" s="450"/>
      <c r="H26" s="450"/>
      <c r="I26" s="438"/>
      <c r="J26" s="450"/>
      <c r="K26" s="450"/>
      <c r="L26" s="450"/>
      <c r="M26" s="450"/>
      <c r="N26" s="450"/>
      <c r="O26" s="450"/>
      <c r="P26" s="450"/>
      <c r="Q26" s="450"/>
    </row>
    <row r="27" spans="3:17">
      <c r="C27" s="440"/>
      <c r="D27" s="458"/>
      <c r="E27" s="458"/>
      <c r="F27" s="450"/>
      <c r="G27" s="450"/>
      <c r="H27" s="450"/>
      <c r="I27" s="450"/>
      <c r="J27" s="450"/>
      <c r="K27" s="450"/>
      <c r="L27" s="450"/>
      <c r="M27" s="450"/>
      <c r="N27" s="450"/>
      <c r="O27" s="450"/>
      <c r="P27" s="450"/>
      <c r="Q27" s="450"/>
    </row>
    <row r="28" spans="3:17">
      <c r="C28" s="465" t="str">
        <f>"   Rate Base  (TCOS, ln "&amp;TCOS!B131&amp;")"</f>
        <v xml:space="preserve">   Rate Base  (TCOS, ln 68)</v>
      </c>
      <c r="D28" s="438"/>
      <c r="E28" s="466">
        <f>TCOS!L131</f>
        <v>597074925.00576842</v>
      </c>
      <c r="F28" s="473"/>
      <c r="G28" s="473"/>
      <c r="H28" s="450"/>
      <c r="I28" s="450"/>
      <c r="J28" s="450"/>
      <c r="K28" s="450"/>
      <c r="L28" s="450"/>
      <c r="M28" s="450"/>
      <c r="N28" s="450"/>
      <c r="O28" s="450"/>
      <c r="P28" s="473"/>
      <c r="Q28" s="450"/>
    </row>
    <row r="29" spans="3:17">
      <c r="C29" s="440" t="s">
        <v>476</v>
      </c>
      <c r="D29" s="468"/>
      <c r="E29" s="448">
        <f>F24</f>
        <v>7.7711882491245471E-2</v>
      </c>
      <c r="F29" s="450"/>
      <c r="G29" s="450"/>
      <c r="H29" s="450"/>
      <c r="I29" s="450"/>
      <c r="J29" s="450"/>
      <c r="K29" s="450"/>
      <c r="L29" s="450"/>
      <c r="M29" s="450"/>
      <c r="N29" s="450"/>
      <c r="O29" s="450"/>
      <c r="P29" s="450"/>
      <c r="Q29" s="450"/>
    </row>
    <row r="30" spans="3:17">
      <c r="C30" s="469" t="s">
        <v>264</v>
      </c>
      <c r="D30" s="469"/>
      <c r="E30" s="451">
        <f>E28*E29</f>
        <v>46399816.410517476</v>
      </c>
      <c r="F30" s="450"/>
      <c r="G30" s="450"/>
      <c r="H30" s="450"/>
      <c r="I30" s="450"/>
      <c r="J30" s="451"/>
      <c r="K30" s="451"/>
      <c r="L30" s="451"/>
      <c r="M30" s="451"/>
      <c r="N30" s="451"/>
      <c r="O30" s="451"/>
      <c r="P30" s="450"/>
      <c r="Q30" s="451"/>
    </row>
    <row r="31" spans="3:17">
      <c r="C31" s="469"/>
      <c r="D31" s="440"/>
      <c r="E31" s="440"/>
      <c r="F31" s="450"/>
      <c r="G31" s="450"/>
      <c r="H31" s="450"/>
      <c r="I31" s="450"/>
      <c r="J31" s="451"/>
      <c r="K31" s="451"/>
      <c r="L31" s="451"/>
      <c r="M31" s="451"/>
      <c r="N31" s="451"/>
      <c r="O31" s="451"/>
      <c r="P31" s="450"/>
      <c r="Q31" s="451"/>
    </row>
    <row r="32" spans="3:17" ht="15.75">
      <c r="C32" s="436" t="str">
        <f>"C.   Determine Income Taxes using Return with hypothetical "&amp;F17&amp;" basis point ROE increase for Identified Projects."</f>
        <v>C.   Determine Income Taxes using Return with hypothetical 0 basis point ROE increase for Identified Projects.</v>
      </c>
      <c r="D32" s="470"/>
      <c r="E32" s="470"/>
      <c r="F32" s="471"/>
      <c r="G32" s="471"/>
      <c r="H32" s="471"/>
      <c r="I32" s="471"/>
      <c r="J32" s="472"/>
      <c r="K32" s="472"/>
      <c r="L32" s="472"/>
      <c r="M32" s="472"/>
      <c r="N32" s="472"/>
      <c r="O32" s="472"/>
      <c r="P32" s="471"/>
      <c r="Q32" s="472"/>
    </row>
    <row r="33" spans="2:17">
      <c r="C33" s="437"/>
      <c r="D33" s="440"/>
      <c r="E33" s="440"/>
      <c r="F33" s="450"/>
      <c r="G33" s="450"/>
      <c r="H33" s="450"/>
      <c r="I33" s="450"/>
      <c r="J33" s="451"/>
      <c r="K33" s="451"/>
      <c r="L33" s="451"/>
      <c r="M33" s="451"/>
      <c r="N33" s="451"/>
      <c r="O33" s="451"/>
      <c r="P33" s="450"/>
      <c r="Q33" s="451"/>
    </row>
    <row r="34" spans="2:17">
      <c r="C34" s="440" t="s">
        <v>265</v>
      </c>
      <c r="D34" s="453"/>
      <c r="E34" s="473">
        <f>E30</f>
        <v>46399816.410517476</v>
      </c>
      <c r="F34" s="450"/>
      <c r="G34" s="450"/>
      <c r="H34" s="450"/>
      <c r="I34" s="450"/>
      <c r="J34" s="450"/>
      <c r="K34" s="450"/>
      <c r="L34" s="450"/>
      <c r="M34" s="450"/>
      <c r="N34" s="450"/>
      <c r="O34" s="450"/>
      <c r="P34" s="450"/>
      <c r="Q34" s="450"/>
    </row>
    <row r="35" spans="2:17">
      <c r="C35" s="465" t="str">
        <f>"   Effective Tax Rate  (TCOS, ln "&amp;TCOS!B198&amp;")"</f>
        <v xml:space="preserve">   Effective Tax Rate  (TCOS, ln 114)</v>
      </c>
      <c r="D35" s="81"/>
      <c r="E35" s="83">
        <f>TCOS!G198</f>
        <v>0.20254620449971361</v>
      </c>
      <c r="F35" s="4"/>
      <c r="G35" s="4"/>
      <c r="H35" s="4"/>
      <c r="I35" s="474"/>
      <c r="J35" s="4"/>
      <c r="K35" s="4"/>
    </row>
    <row r="36" spans="2:17">
      <c r="C36" s="469" t="s">
        <v>266</v>
      </c>
      <c r="D36" s="81"/>
      <c r="E36" s="475">
        <f>E34*E35</f>
        <v>9398106.7034338396</v>
      </c>
      <c r="F36" s="4"/>
      <c r="G36" s="4"/>
      <c r="H36" s="4"/>
      <c r="I36" s="474"/>
      <c r="J36" s="4"/>
      <c r="K36" s="4"/>
    </row>
    <row r="37" spans="2:17" ht="15">
      <c r="C37" s="437" t="s">
        <v>304</v>
      </c>
      <c r="D37" s="272"/>
      <c r="E37" s="450">
        <f>TCOS!L207</f>
        <v>0</v>
      </c>
      <c r="F37" s="272"/>
      <c r="G37" s="272"/>
      <c r="H37" s="272"/>
      <c r="I37" s="272"/>
      <c r="J37" s="272"/>
      <c r="K37" s="272"/>
      <c r="L37" s="272"/>
      <c r="M37" s="272"/>
      <c r="N37" s="272"/>
      <c r="O37" s="272"/>
      <c r="P37" s="286"/>
      <c r="Q37" s="272"/>
    </row>
    <row r="38" spans="2:17" ht="15">
      <c r="C38" s="437" t="s">
        <v>534</v>
      </c>
      <c r="D38" s="272"/>
      <c r="E38" s="450">
        <f>TCOS!L208</f>
        <v>-1478641.6958824187</v>
      </c>
      <c r="F38" s="272"/>
      <c r="G38" s="272"/>
      <c r="H38" s="272"/>
      <c r="I38" s="272"/>
      <c r="J38" s="272"/>
      <c r="K38" s="272"/>
      <c r="L38" s="272"/>
      <c r="M38" s="272"/>
      <c r="N38" s="272"/>
      <c r="O38" s="272"/>
      <c r="P38" s="286"/>
      <c r="Q38" s="272"/>
    </row>
    <row r="39" spans="2:17" ht="15">
      <c r="C39" s="437" t="s">
        <v>535</v>
      </c>
      <c r="D39" s="272"/>
      <c r="E39" s="476">
        <f>TCOS!L209</f>
        <v>823201.45864379755</v>
      </c>
      <c r="F39" s="272"/>
      <c r="G39" s="272"/>
      <c r="H39" s="272"/>
      <c r="I39" s="272"/>
      <c r="J39" s="272"/>
      <c r="K39" s="272"/>
      <c r="L39" s="272"/>
      <c r="M39" s="272"/>
      <c r="N39" s="272"/>
      <c r="O39" s="272"/>
      <c r="P39" s="286"/>
      <c r="Q39" s="272"/>
    </row>
    <row r="40" spans="2:17" ht="15">
      <c r="C40" s="469" t="s">
        <v>267</v>
      </c>
      <c r="D40" s="272"/>
      <c r="E40" s="450">
        <f>E36+E37+E38+E39</f>
        <v>8742666.4661952183</v>
      </c>
      <c r="F40" s="272"/>
      <c r="G40" s="272"/>
      <c r="H40" s="272"/>
      <c r="I40" s="272"/>
      <c r="J40" s="272"/>
      <c r="K40" s="272"/>
      <c r="L40" s="272"/>
      <c r="M40" s="272"/>
      <c r="N40" s="272"/>
      <c r="O40" s="272"/>
      <c r="P40" s="285"/>
      <c r="Q40" s="272"/>
    </row>
    <row r="41" spans="2:17" ht="12.75" customHeight="1">
      <c r="C41" s="269"/>
      <c r="D41" s="272"/>
      <c r="E41" s="272"/>
      <c r="F41" s="272"/>
      <c r="G41" s="272"/>
      <c r="H41" s="272"/>
      <c r="I41" s="272"/>
      <c r="J41" s="272"/>
      <c r="K41" s="272"/>
      <c r="L41" s="272"/>
      <c r="M41" s="272"/>
      <c r="N41" s="272"/>
      <c r="O41" s="272"/>
      <c r="P41" s="285"/>
      <c r="Q41" s="272"/>
    </row>
    <row r="42" spans="2:17" ht="18.75">
      <c r="B42" s="435" t="s">
        <v>174</v>
      </c>
      <c r="C42" s="13" t="str">
        <f>"Calculate Net Plant Carrying Charge Rate (Fixed Charge Rate or FCR) with hypothetical "&amp;F17&amp;""</f>
        <v>Calculate Net Plant Carrying Charge Rate (Fixed Charge Rate or FCR) with hypothetical 0</v>
      </c>
      <c r="D42" s="272"/>
      <c r="E42" s="272"/>
      <c r="F42" s="272"/>
      <c r="G42" s="272"/>
      <c r="H42" s="272"/>
      <c r="I42" s="272"/>
      <c r="J42" s="272"/>
      <c r="K42" s="272"/>
      <c r="L42" s="272"/>
      <c r="M42" s="272"/>
      <c r="N42" s="272"/>
      <c r="O42" s="272"/>
      <c r="P42" s="285"/>
      <c r="Q42" s="272"/>
    </row>
    <row r="43" spans="2:17" ht="18.75" customHeight="1">
      <c r="C43" s="13" t="str">
        <f>"basis point ROE increase."</f>
        <v>basis point ROE increase.</v>
      </c>
      <c r="D43" s="272"/>
      <c r="E43" s="272"/>
      <c r="F43" s="272"/>
      <c r="G43" s="272"/>
      <c r="H43" s="272"/>
      <c r="I43" s="272"/>
      <c r="J43" s="272"/>
      <c r="K43" s="272"/>
      <c r="L43" s="272"/>
      <c r="M43" s="272"/>
      <c r="N43" s="272"/>
      <c r="O43" s="272"/>
      <c r="P43" s="285"/>
      <c r="Q43" s="272"/>
    </row>
    <row r="44" spans="2:17" ht="12.75" customHeight="1">
      <c r="C44" s="13"/>
      <c r="D44" s="272"/>
      <c r="E44" s="272"/>
      <c r="F44" s="272"/>
      <c r="G44" s="272"/>
      <c r="H44" s="272"/>
      <c r="I44" s="272"/>
      <c r="J44" s="272"/>
      <c r="K44" s="272"/>
      <c r="L44" s="272"/>
      <c r="M44" s="272"/>
      <c r="N44" s="272"/>
      <c r="O44" s="272"/>
      <c r="P44" s="285"/>
      <c r="Q44" s="272"/>
    </row>
    <row r="45" spans="2:17" ht="15.75">
      <c r="C45" s="436" t="s">
        <v>467</v>
      </c>
      <c r="D45" s="272"/>
      <c r="E45" s="272"/>
      <c r="F45" s="269"/>
      <c r="G45" s="269"/>
      <c r="H45" s="272"/>
      <c r="I45" s="272"/>
      <c r="J45" s="272"/>
      <c r="K45" s="272"/>
      <c r="L45" s="272"/>
      <c r="M45" s="272"/>
      <c r="N45" s="272"/>
      <c r="O45" s="272"/>
      <c r="P45" s="285"/>
      <c r="Q45" s="272"/>
    </row>
    <row r="46" spans="2:17">
      <c r="B46" s="4"/>
      <c r="C46" s="437"/>
      <c r="D46" s="438"/>
      <c r="E46" s="438"/>
      <c r="F46" s="438"/>
      <c r="G46" s="438"/>
      <c r="H46" s="438"/>
      <c r="I46" s="438"/>
      <c r="J46" s="438"/>
      <c r="K46" s="438"/>
      <c r="L46" s="438"/>
      <c r="M46" s="438"/>
      <c r="N46" s="438"/>
      <c r="O46" s="438"/>
      <c r="P46" s="450"/>
      <c r="Q46" s="438"/>
    </row>
    <row r="47" spans="2:17" ht="12.75" customHeight="1">
      <c r="B47" s="4"/>
      <c r="C47" s="465" t="str">
        <f>"   Annual Revenue Requirement  (TCOS, ln "&amp;TCOS!B13&amp;")"</f>
        <v xml:space="preserve">   Annual Revenue Requirement  (TCOS, ln 1)</v>
      </c>
      <c r="D47" s="438"/>
      <c r="E47" s="438"/>
      <c r="F47" s="450">
        <f>TCOS!L13</f>
        <v>102311133.91517593</v>
      </c>
      <c r="G47" s="450"/>
      <c r="H47" s="570" t="s">
        <v>116</v>
      </c>
      <c r="I47" s="438"/>
      <c r="J47" s="438"/>
      <c r="K47" s="438"/>
      <c r="L47" s="438"/>
      <c r="M47" s="438"/>
      <c r="N47" s="438"/>
      <c r="O47" s="438"/>
      <c r="P47" s="450"/>
      <c r="Q47" s="438"/>
    </row>
    <row r="48" spans="2:17" ht="12.75" customHeight="1">
      <c r="B48" s="4"/>
      <c r="C48" s="465" t="str">
        <f>"   Lease Payments (TCOS, Ln "&amp;TCOS!B175&amp;")"</f>
        <v xml:space="preserve">   Lease Payments (TCOS, Ln 95)</v>
      </c>
      <c r="D48" s="438"/>
      <c r="E48" s="438"/>
      <c r="F48" s="450">
        <f>TCOS!L175</f>
        <v>0</v>
      </c>
      <c r="G48" s="450"/>
      <c r="H48" s="570"/>
      <c r="I48" s="438"/>
      <c r="J48" s="438"/>
      <c r="K48" s="438"/>
      <c r="L48" s="438"/>
      <c r="M48" s="438"/>
      <c r="N48" s="438"/>
      <c r="O48" s="438"/>
      <c r="P48" s="450"/>
      <c r="Q48" s="438"/>
    </row>
    <row r="49" spans="2:17">
      <c r="B49" s="4"/>
      <c r="C49" s="465" t="str">
        <f>"   Return  (TCOS, ln "&amp;TCOS!B213&amp;")"</f>
        <v xml:space="preserve">   Return  (TCOS, ln 126)</v>
      </c>
      <c r="D49" s="438"/>
      <c r="E49" s="438"/>
      <c r="F49" s="451">
        <f>TCOS!L213</f>
        <v>46399816.410517476</v>
      </c>
      <c r="G49" s="451"/>
      <c r="H49" s="437"/>
      <c r="I49" s="437"/>
      <c r="J49" s="437"/>
      <c r="K49" s="437"/>
      <c r="L49" s="437"/>
      <c r="M49" s="437"/>
      <c r="N49" s="437"/>
      <c r="O49" s="437"/>
      <c r="P49" s="450"/>
      <c r="Q49" s="437"/>
    </row>
    <row r="50" spans="2:17">
      <c r="B50" s="4"/>
      <c r="C50" s="465" t="str">
        <f>"   Income Taxes  (TCOS, ln "&amp;TCOS!B211&amp;")"</f>
        <v xml:space="preserve">   Income Taxes  (TCOS, ln 125)</v>
      </c>
      <c r="D50" s="438"/>
      <c r="E50" s="438"/>
      <c r="F50" s="477">
        <f>TCOS!L211</f>
        <v>8742666.4661952183</v>
      </c>
      <c r="G50" s="477"/>
      <c r="H50" s="438"/>
      <c r="I50" s="438"/>
      <c r="J50" s="478"/>
      <c r="K50" s="478"/>
      <c r="L50" s="478"/>
      <c r="M50" s="478"/>
      <c r="N50" s="478"/>
      <c r="O50" s="478"/>
      <c r="P50" s="438"/>
      <c r="Q50" s="478"/>
    </row>
    <row r="51" spans="2:17">
      <c r="B51" s="4"/>
      <c r="C51" s="1198" t="s">
        <v>591</v>
      </c>
      <c r="D51" s="1259"/>
      <c r="E51" s="438"/>
      <c r="F51" s="451">
        <f>F47-F49-F50-F48</f>
        <v>47168651.038463235</v>
      </c>
      <c r="G51" s="451"/>
      <c r="H51" s="479"/>
      <c r="I51" s="438"/>
      <c r="J51" s="479"/>
      <c r="K51" s="479"/>
      <c r="L51" s="479"/>
      <c r="M51" s="479"/>
      <c r="N51" s="479"/>
      <c r="O51" s="479"/>
      <c r="P51" s="479"/>
      <c r="Q51" s="479"/>
    </row>
    <row r="52" spans="2:17">
      <c r="B52" s="4"/>
      <c r="C52" s="1259"/>
      <c r="D52" s="1259"/>
      <c r="E52" s="438"/>
      <c r="F52" s="450"/>
      <c r="G52" s="450"/>
      <c r="H52" s="480"/>
      <c r="I52" s="481"/>
      <c r="J52" s="481"/>
      <c r="K52" s="481"/>
      <c r="L52" s="481"/>
      <c r="M52" s="481"/>
      <c r="N52" s="481"/>
      <c r="O52" s="481"/>
      <c r="P52" s="481"/>
      <c r="Q52" s="481"/>
    </row>
    <row r="53" spans="2:17" ht="15.75">
      <c r="B53" s="4"/>
      <c r="C53" s="436" t="str">
        <f>"B.   Determine Annual Revenue Requirement with hypothetical "&amp;F17&amp;" basis point increase in ROE."</f>
        <v>B.   Determine Annual Revenue Requirement with hypothetical 0 basis point increase in ROE.</v>
      </c>
      <c r="D53" s="440"/>
      <c r="E53" s="440"/>
      <c r="F53" s="450"/>
      <c r="G53" s="450"/>
      <c r="H53" s="480"/>
      <c r="I53" s="481"/>
      <c r="J53" s="481"/>
      <c r="K53" s="481"/>
      <c r="L53" s="481"/>
      <c r="M53" s="481"/>
      <c r="N53" s="481"/>
      <c r="O53" s="481"/>
      <c r="P53" s="481"/>
      <c r="Q53" s="481"/>
    </row>
    <row r="54" spans="2:17">
      <c r="B54" s="4"/>
      <c r="C54" s="437"/>
      <c r="D54" s="440"/>
      <c r="E54" s="440"/>
      <c r="F54" s="450"/>
      <c r="G54" s="450"/>
      <c r="H54" s="480"/>
      <c r="I54" s="481"/>
      <c r="J54" s="481"/>
      <c r="K54" s="481"/>
      <c r="L54" s="481"/>
      <c r="M54" s="481"/>
      <c r="N54" s="481"/>
      <c r="O54" s="481"/>
      <c r="P54" s="481"/>
      <c r="Q54" s="481"/>
    </row>
    <row r="55" spans="2:17">
      <c r="B55" s="4"/>
      <c r="C55" s="437" t="str">
        <f>C51</f>
        <v xml:space="preserve">   Annual Revenue Requirement, Less Lease Payments, Return and Taxes</v>
      </c>
      <c r="D55" s="440"/>
      <c r="E55" s="440"/>
      <c r="F55" s="450">
        <f>F51</f>
        <v>47168651.038463235</v>
      </c>
      <c r="G55" s="450"/>
      <c r="H55" s="438"/>
      <c r="I55" s="438"/>
      <c r="J55" s="438"/>
      <c r="K55" s="438"/>
      <c r="L55" s="438"/>
      <c r="M55" s="438"/>
      <c r="N55" s="438"/>
      <c r="O55" s="438"/>
      <c r="P55" s="482"/>
      <c r="Q55" s="438"/>
    </row>
    <row r="56" spans="2:17">
      <c r="B56" s="4"/>
      <c r="C56" s="440" t="s">
        <v>301</v>
      </c>
      <c r="D56" s="81"/>
      <c r="E56" s="4"/>
      <c r="F56" s="475">
        <f>E30</f>
        <v>46399816.410517476</v>
      </c>
      <c r="G56" s="475"/>
      <c r="H56" s="4"/>
      <c r="I56" s="483"/>
      <c r="J56" s="4"/>
      <c r="K56" s="4"/>
    </row>
    <row r="57" spans="2:17" ht="12.75" customHeight="1">
      <c r="B57" s="4"/>
      <c r="C57" s="437" t="s">
        <v>268</v>
      </c>
      <c r="D57" s="438"/>
      <c r="E57" s="438"/>
      <c r="F57" s="477">
        <f>E40</f>
        <v>8742666.4661952183</v>
      </c>
      <c r="G57" s="477"/>
      <c r="H57" s="4"/>
      <c r="I57" s="474"/>
      <c r="J57" s="4"/>
      <c r="K57" s="4"/>
    </row>
    <row r="58" spans="2:17">
      <c r="B58" s="4"/>
      <c r="C58" s="4" t="str">
        <f>"   Annual Revenue Requirement, with "&amp;F17&amp;" Basis Point ROE increase"</f>
        <v xml:space="preserve">   Annual Revenue Requirement, with 0 Basis Point ROE increase</v>
      </c>
      <c r="D58" s="81"/>
      <c r="E58" s="4"/>
      <c r="F58" s="475">
        <f>SUM(F55:F57)</f>
        <v>102311133.91517594</v>
      </c>
      <c r="G58" s="475"/>
      <c r="H58" s="4"/>
      <c r="I58" s="474"/>
      <c r="J58" s="4"/>
      <c r="K58" s="4"/>
    </row>
    <row r="59" spans="2:17">
      <c r="B59" s="4"/>
      <c r="C59" s="465" t="str">
        <f>"   Depreciation  (TCOS, ln "&amp;TCOS!B181&amp;")"</f>
        <v xml:space="preserve">   Depreciation  (TCOS, ln 100)</v>
      </c>
      <c r="D59" s="81"/>
      <c r="E59" s="4"/>
      <c r="F59" s="484">
        <f>TCOS!L181</f>
        <v>26781658.596526738</v>
      </c>
      <c r="G59" s="484"/>
      <c r="H59" s="475"/>
      <c r="I59" s="474"/>
      <c r="J59" s="4"/>
      <c r="K59" s="4"/>
    </row>
    <row r="60" spans="2:17">
      <c r="B60" s="4"/>
      <c r="C60" s="1198" t="str">
        <f>"   Annual Rev. Req, w/ "&amp;F17&amp;" Basis Point ROE increase, less Depreciation"</f>
        <v xml:space="preserve">   Annual Rev. Req, w/ 0 Basis Point ROE increase, less Depreciation</v>
      </c>
      <c r="D60" s="1259"/>
      <c r="E60" s="4"/>
      <c r="F60" s="475">
        <f>F58-F59</f>
        <v>75529475.318649203</v>
      </c>
      <c r="G60" s="475"/>
      <c r="H60" s="4"/>
      <c r="I60" s="474"/>
      <c r="J60" s="4"/>
      <c r="K60" s="4"/>
    </row>
    <row r="61" spans="2:17">
      <c r="B61" s="4"/>
      <c r="C61" s="1259"/>
      <c r="D61" s="1259"/>
      <c r="E61" s="4"/>
      <c r="F61" s="4"/>
      <c r="G61" s="4"/>
      <c r="H61" s="4"/>
      <c r="I61" s="474"/>
      <c r="J61" s="4"/>
      <c r="K61" s="4"/>
    </row>
    <row r="62" spans="2:17" ht="15.75">
      <c r="B62" s="4"/>
      <c r="C62" s="436" t="str">
        <f>"C.   Determine FCR with hypothetical "&amp;F17&amp;" basis point ROE increase."</f>
        <v>C.   Determine FCR with hypothetical 0 basis point ROE increase.</v>
      </c>
      <c r="D62" s="81"/>
      <c r="E62" s="4"/>
      <c r="F62" s="4"/>
      <c r="G62" s="4"/>
      <c r="H62" s="4"/>
      <c r="I62" s="474"/>
      <c r="J62" s="4"/>
      <c r="K62" s="4"/>
    </row>
    <row r="63" spans="2:17">
      <c r="B63" s="4"/>
      <c r="C63" s="4"/>
      <c r="D63" s="81"/>
      <c r="E63" s="4"/>
      <c r="F63" s="4"/>
      <c r="G63" s="4"/>
      <c r="H63" s="4"/>
      <c r="I63" s="474"/>
      <c r="J63" s="4"/>
      <c r="K63" s="4"/>
    </row>
    <row r="64" spans="2:17">
      <c r="B64" s="4"/>
      <c r="C64" s="465" t="str">
        <f>"   Net Transmission Plant  (TCOS, ln "&amp;TCOS!B95&amp;")"</f>
        <v xml:space="preserve">   Net Transmission Plant  (TCOS, ln 42)</v>
      </c>
      <c r="D64" s="81"/>
      <c r="E64" s="4"/>
      <c r="F64" s="475">
        <f>TCOS!L95</f>
        <v>658899108.01153851</v>
      </c>
      <c r="G64" s="475"/>
      <c r="H64" s="475"/>
      <c r="I64" s="485"/>
      <c r="J64" s="4"/>
      <c r="K64" s="4"/>
    </row>
    <row r="65" spans="2:11">
      <c r="B65" s="4"/>
      <c r="C65" s="4" t="str">
        <f>"   Annual Revenue Requirement, with "&amp;F17&amp;" Basis Point ROE increase"</f>
        <v xml:space="preserve">   Annual Revenue Requirement, with 0 Basis Point ROE increase</v>
      </c>
      <c r="D65" s="81"/>
      <c r="E65" s="4"/>
      <c r="F65" s="475">
        <f>F58</f>
        <v>102311133.91517594</v>
      </c>
      <c r="G65" s="475"/>
      <c r="H65" s="4"/>
      <c r="I65" s="474"/>
      <c r="J65" s="4"/>
      <c r="K65" s="4"/>
    </row>
    <row r="66" spans="2:11">
      <c r="B66" s="4"/>
      <c r="C66" s="4" t="str">
        <f>"   FCR with "&amp;F17&amp;" Basis Point increase in ROE"</f>
        <v xml:space="preserve">   FCR with 0 Basis Point increase in ROE</v>
      </c>
      <c r="D66" s="81"/>
      <c r="E66" s="4"/>
      <c r="F66" s="83">
        <f>F65/F64</f>
        <v>0.15527587254433542</v>
      </c>
      <c r="G66" s="83"/>
      <c r="H66" s="83"/>
      <c r="I66" s="474"/>
      <c r="J66" s="4"/>
      <c r="K66" s="4"/>
    </row>
    <row r="67" spans="2:11">
      <c r="B67" s="4"/>
      <c r="C67" s="72"/>
      <c r="D67" s="81"/>
      <c r="E67" s="4"/>
      <c r="F67" s="4"/>
      <c r="G67" s="4"/>
      <c r="H67" s="4"/>
      <c r="I67" s="474"/>
      <c r="J67" s="4"/>
      <c r="K67" s="4"/>
    </row>
    <row r="68" spans="2:11">
      <c r="B68" s="4"/>
      <c r="C68" s="4" t="str">
        <f>"   Annual Rev. Req, w / "&amp;F17&amp;" Basis Point ROE increase, less Dep."</f>
        <v xml:space="preserve">   Annual Rev. Req, w / 0 Basis Point ROE increase, less Dep.</v>
      </c>
      <c r="D68" s="81"/>
      <c r="E68" s="4"/>
      <c r="F68" s="475">
        <f>F60</f>
        <v>75529475.318649203</v>
      </c>
      <c r="G68" s="475"/>
      <c r="H68" s="4"/>
      <c r="I68" s="474"/>
      <c r="J68" s="4"/>
      <c r="K68" s="4"/>
    </row>
    <row r="69" spans="2:11">
      <c r="B69" s="4"/>
      <c r="C69" s="4" t="str">
        <f>"   FCR with "&amp;F17&amp;" Basis Point ROE increase, less Depreciation"</f>
        <v xml:space="preserve">   FCR with 0 Basis Point ROE increase, less Depreciation</v>
      </c>
      <c r="D69" s="81"/>
      <c r="E69" s="4"/>
      <c r="F69" s="83">
        <f>F68/F64</f>
        <v>0.11462980356216622</v>
      </c>
      <c r="G69" s="83"/>
      <c r="H69" s="4"/>
      <c r="I69" s="474"/>
      <c r="J69" s="4"/>
      <c r="K69" s="4"/>
    </row>
    <row r="70" spans="2:11">
      <c r="B70" s="4"/>
      <c r="C70" s="465" t="str">
        <f>"   FCR less Depreciation  (TCOS, ln "&amp;TCOS!B34&amp;")"</f>
        <v xml:space="preserve">   FCR less Depreciation  (TCOS, ln 10)</v>
      </c>
      <c r="D70" s="81"/>
      <c r="E70" s="4"/>
      <c r="F70" s="486">
        <f>TCOS!L34</f>
        <v>0.1146298035621662</v>
      </c>
      <c r="G70" s="486"/>
      <c r="H70" s="4"/>
      <c r="I70" s="474"/>
      <c r="J70" s="4"/>
      <c r="K70" s="4"/>
    </row>
    <row r="71" spans="2:11">
      <c r="B71" s="4"/>
      <c r="C71" s="1198" t="str">
        <f>"   Incremental FCR with "&amp;F17&amp;" Basis Point ROE increase, less Depreciation"</f>
        <v xml:space="preserve">   Incremental FCR with 0 Basis Point ROE increase, less Depreciation</v>
      </c>
      <c r="D71" s="1259"/>
      <c r="E71" s="4"/>
      <c r="F71" s="83">
        <f>F69-F70</f>
        <v>0</v>
      </c>
      <c r="G71" s="83"/>
      <c r="H71" s="4"/>
      <c r="I71" s="474"/>
      <c r="J71" s="4"/>
      <c r="K71" s="4"/>
    </row>
    <row r="72" spans="2:11">
      <c r="B72" s="4"/>
      <c r="C72" s="1259"/>
      <c r="D72" s="1259"/>
      <c r="E72" s="4"/>
      <c r="F72" s="83"/>
      <c r="G72" s="83"/>
      <c r="H72" s="4"/>
      <c r="I72" s="474"/>
      <c r="J72" s="4"/>
      <c r="K72" s="4"/>
    </row>
    <row r="73" spans="2:11" ht="18.75">
      <c r="B73" s="435" t="s">
        <v>175</v>
      </c>
      <c r="C73" s="13" t="s">
        <v>269</v>
      </c>
      <c r="D73" s="81"/>
      <c r="E73" s="4"/>
      <c r="F73" s="83"/>
      <c r="G73" s="83"/>
      <c r="H73" s="4"/>
      <c r="I73" s="474"/>
      <c r="J73" s="4"/>
      <c r="K73" s="4"/>
    </row>
    <row r="74" spans="2:11">
      <c r="B74" s="4"/>
      <c r="C74" s="4"/>
      <c r="D74" s="81"/>
      <c r="E74" s="4"/>
      <c r="F74" s="83"/>
      <c r="G74" s="83"/>
      <c r="H74" s="4"/>
      <c r="I74" s="474"/>
      <c r="J74" s="4"/>
      <c r="K74" s="4"/>
    </row>
    <row r="75" spans="2:11">
      <c r="B75" s="4"/>
      <c r="C75" s="4" t="str">
        <f>+"Average Transmission Plant Balance for "&amp;TCOS!L4&amp;" (TCOS, ln "&amp;TCOS!B68&amp;")"</f>
        <v>Average Transmission Plant Balance for 2025 (TCOS, ln 21)</v>
      </c>
      <c r="D75" s="81"/>
      <c r="H75" s="474">
        <f>TCOS!L68</f>
        <v>958176632.88076925</v>
      </c>
      <c r="J75" s="4"/>
      <c r="K75" s="4"/>
    </row>
    <row r="76" spans="2:11">
      <c r="B76" s="4"/>
      <c r="C76" s="487" t="str">
        <f>"Annual Depreciation and Amortization Expense (TCOS, ln "&amp;TCOS!B181&amp;")"</f>
        <v>Annual Depreciation and Amortization Expense (TCOS, ln 100)</v>
      </c>
      <c r="D76" s="81"/>
      <c r="E76" s="4"/>
      <c r="H76" s="488">
        <f>TCOS!L181</f>
        <v>26781658.596526738</v>
      </c>
      <c r="I76" s="474"/>
      <c r="J76" s="4"/>
      <c r="K76" s="4"/>
    </row>
    <row r="77" spans="2:11">
      <c r="B77" s="4"/>
      <c r="C77" s="4" t="s">
        <v>270</v>
      </c>
      <c r="D77" s="81"/>
      <c r="E77" s="4"/>
      <c r="H77" s="83">
        <f>+H76/H75</f>
        <v>2.7950648844365333E-2</v>
      </c>
      <c r="I77" s="490"/>
      <c r="J77" s="4"/>
      <c r="K77" s="4"/>
    </row>
    <row r="78" spans="2:11">
      <c r="B78" s="4"/>
      <c r="C78" s="4" t="s">
        <v>271</v>
      </c>
      <c r="D78" s="81"/>
      <c r="E78" s="4"/>
      <c r="H78" s="490">
        <f>1/H77</f>
        <v>35.777344761053499</v>
      </c>
      <c r="I78" s="474"/>
      <c r="J78" s="4"/>
      <c r="K78" s="4"/>
    </row>
    <row r="79" spans="2:11">
      <c r="B79" s="4"/>
      <c r="C79" s="4" t="s">
        <v>272</v>
      </c>
      <c r="D79" s="81"/>
      <c r="E79" s="4"/>
      <c r="H79" s="491">
        <f>ROUND(H78,0)</f>
        <v>36</v>
      </c>
      <c r="I79" s="474"/>
      <c r="J79" s="4"/>
      <c r="K79" s="4"/>
    </row>
    <row r="80" spans="2:11">
      <c r="B80" s="4"/>
      <c r="C80" s="4"/>
      <c r="D80" s="81"/>
      <c r="E80" s="4"/>
      <c r="H80" s="491"/>
      <c r="I80" s="474"/>
      <c r="J80" s="4"/>
      <c r="K80" s="4"/>
    </row>
    <row r="81" spans="1:17">
      <c r="C81" s="492"/>
      <c r="D81" s="491"/>
      <c r="E81" s="491"/>
      <c r="F81" s="491"/>
      <c r="G81" s="491"/>
      <c r="H81" s="489"/>
      <c r="I81" s="489"/>
      <c r="J81" s="493"/>
      <c r="K81" s="493"/>
      <c r="L81" s="493"/>
      <c r="M81" s="493"/>
      <c r="N81" s="493"/>
      <c r="O81" s="493"/>
      <c r="Q81" s="493"/>
    </row>
    <row r="82" spans="1:17">
      <c r="C82" s="492"/>
      <c r="D82" s="491"/>
      <c r="E82" s="491"/>
      <c r="F82" s="491"/>
      <c r="G82" s="491"/>
      <c r="H82" s="489"/>
      <c r="I82" s="489"/>
      <c r="J82" s="493"/>
      <c r="K82" s="493"/>
      <c r="L82" s="493"/>
      <c r="M82" s="493"/>
      <c r="N82" s="493"/>
      <c r="O82" s="493"/>
      <c r="Q82" s="493"/>
    </row>
    <row r="83" spans="1:17" ht="20.25">
      <c r="A83" s="433" t="s">
        <v>772</v>
      </c>
      <c r="B83" s="4"/>
      <c r="C83" s="4"/>
      <c r="D83" s="81"/>
      <c r="E83" s="4"/>
      <c r="F83" s="83"/>
      <c r="G83" s="83"/>
      <c r="H83" s="4"/>
      <c r="I83" s="474"/>
      <c r="L83" s="11"/>
      <c r="M83" s="11"/>
      <c r="N83" s="11"/>
      <c r="O83" s="11" t="str">
        <f>"Page "&amp;SUM(Q$3:Q83)&amp;" of "</f>
        <v xml:space="preserve">Page 2 of </v>
      </c>
      <c r="P83" s="434">
        <f>COUNT(Q$8:Q$58122)</f>
        <v>2</v>
      </c>
      <c r="Q83" s="571">
        <v>1</v>
      </c>
    </row>
    <row r="84" spans="1:17">
      <c r="B84" s="4"/>
      <c r="C84" s="4"/>
      <c r="D84" s="81"/>
      <c r="E84" s="4"/>
      <c r="F84" s="4"/>
      <c r="G84" s="4"/>
      <c r="H84" s="4"/>
      <c r="I84" s="474"/>
      <c r="J84" s="4"/>
      <c r="K84" s="4"/>
    </row>
    <row r="85" spans="1:17" ht="18">
      <c r="B85" s="435" t="s">
        <v>176</v>
      </c>
      <c r="C85" s="494" t="s">
        <v>292</v>
      </c>
      <c r="D85" s="81"/>
      <c r="E85" s="4"/>
      <c r="F85" s="4"/>
      <c r="G85" s="4"/>
      <c r="H85" s="4"/>
      <c r="I85" s="474"/>
      <c r="J85" s="474"/>
      <c r="K85" s="489"/>
      <c r="L85" s="474"/>
      <c r="M85" s="474"/>
      <c r="N85" s="474"/>
      <c r="O85" s="474"/>
      <c r="Q85" s="489"/>
    </row>
    <row r="86" spans="1:17" ht="18.75">
      <c r="B86" s="435"/>
      <c r="C86" s="13"/>
      <c r="D86" s="81"/>
      <c r="E86" s="4"/>
      <c r="F86" s="4"/>
      <c r="G86" s="4"/>
      <c r="H86" s="4"/>
      <c r="I86" s="474"/>
      <c r="J86" s="474"/>
      <c r="K86" s="489"/>
      <c r="L86" s="474"/>
      <c r="M86" s="474"/>
      <c r="N86" s="474"/>
      <c r="O86" s="474"/>
      <c r="Q86" s="489"/>
    </row>
    <row r="87" spans="1:17" ht="18.75">
      <c r="B87" s="435"/>
      <c r="C87" s="13" t="s">
        <v>293</v>
      </c>
      <c r="D87" s="81"/>
      <c r="E87" s="4"/>
      <c r="F87" s="4"/>
      <c r="G87" s="4"/>
      <c r="H87" s="4"/>
      <c r="I87" s="474"/>
      <c r="J87" s="474"/>
      <c r="K87" s="489"/>
      <c r="L87" s="474"/>
      <c r="M87" s="474"/>
      <c r="N87" s="474"/>
      <c r="O87" s="474"/>
      <c r="Q87" s="489"/>
    </row>
    <row r="88" spans="1:17" ht="15.75" thickBot="1">
      <c r="C88" s="269"/>
      <c r="D88" s="81"/>
      <c r="E88" s="4"/>
      <c r="F88" s="4"/>
      <c r="G88" s="4"/>
      <c r="H88" s="4"/>
      <c r="I88" s="474"/>
      <c r="J88" s="474"/>
      <c r="K88" s="489"/>
      <c r="L88" s="474"/>
      <c r="M88" s="474"/>
      <c r="N88" s="474"/>
      <c r="O88" s="474"/>
      <c r="Q88" s="489"/>
    </row>
    <row r="89" spans="1:17" ht="15.75">
      <c r="C89" s="436" t="s">
        <v>294</v>
      </c>
      <c r="D89" s="81"/>
      <c r="E89" s="4"/>
      <c r="F89" s="4"/>
      <c r="G89" s="4"/>
      <c r="H89" s="668"/>
      <c r="I89" s="4" t="s">
        <v>273</v>
      </c>
      <c r="J89" s="4"/>
      <c r="K89" s="4"/>
      <c r="L89" s="572">
        <f>+J95</f>
        <v>2024</v>
      </c>
      <c r="M89" s="556" t="s">
        <v>256</v>
      </c>
      <c r="N89" s="556" t="s">
        <v>257</v>
      </c>
      <c r="O89" s="557" t="s">
        <v>258</v>
      </c>
    </row>
    <row r="90" spans="1:17" ht="15.75">
      <c r="C90" s="436"/>
      <c r="D90" s="81"/>
      <c r="E90" s="4"/>
      <c r="F90" s="4"/>
      <c r="H90" s="4"/>
      <c r="I90" s="499"/>
      <c r="J90" s="499"/>
      <c r="K90" s="500"/>
      <c r="L90" s="573" t="s">
        <v>457</v>
      </c>
      <c r="M90" s="574">
        <f>VLOOKUP(J95,C102:P161,10)</f>
        <v>0</v>
      </c>
      <c r="N90" s="574">
        <f>VLOOKUP(J95,C102:P161,12)</f>
        <v>0</v>
      </c>
      <c r="O90" s="575">
        <f>+N90-M90</f>
        <v>0</v>
      </c>
      <c r="Q90" s="500"/>
    </row>
    <row r="91" spans="1:17">
      <c r="C91" s="504" t="s">
        <v>295</v>
      </c>
      <c r="D91" s="677"/>
      <c r="E91" s="677"/>
      <c r="F91" s="677"/>
      <c r="G91" s="677"/>
      <c r="H91" s="677"/>
      <c r="I91" s="474"/>
      <c r="J91" s="474"/>
      <c r="K91" s="489"/>
      <c r="L91" s="573" t="s">
        <v>458</v>
      </c>
      <c r="M91" s="576">
        <f>VLOOKUP(J95,C102:P161,6)</f>
        <v>0</v>
      </c>
      <c r="N91" s="576">
        <f>VLOOKUP(J95,C102:P161,7)</f>
        <v>0</v>
      </c>
      <c r="O91" s="577">
        <f>+N91-M91</f>
        <v>0</v>
      </c>
      <c r="Q91" s="489"/>
    </row>
    <row r="92" spans="1:17" ht="13.5" thickBot="1">
      <c r="C92" s="508"/>
      <c r="D92" s="509"/>
      <c r="E92" s="491"/>
      <c r="F92" s="491"/>
      <c r="G92" s="491"/>
      <c r="H92" s="510"/>
      <c r="I92" s="474"/>
      <c r="J92" s="474"/>
      <c r="K92" s="489"/>
      <c r="L92" s="519" t="s">
        <v>459</v>
      </c>
      <c r="M92" s="578">
        <f>+M91-M90</f>
        <v>0</v>
      </c>
      <c r="N92" s="578">
        <f>+N91-N90</f>
        <v>0</v>
      </c>
      <c r="O92" s="579">
        <f>+O91-O90</f>
        <v>0</v>
      </c>
      <c r="Q92" s="489"/>
    </row>
    <row r="93" spans="1:17" ht="13.5" thickBot="1">
      <c r="C93" s="508"/>
      <c r="D93" s="4"/>
      <c r="E93" s="510"/>
      <c r="F93" s="510"/>
      <c r="G93" s="510"/>
      <c r="H93" s="510"/>
      <c r="I93" s="510"/>
      <c r="J93" s="510"/>
      <c r="K93" s="510"/>
      <c r="L93" s="510"/>
      <c r="M93" s="510"/>
      <c r="N93" s="510"/>
      <c r="O93" s="510"/>
      <c r="Q93" s="510"/>
    </row>
    <row r="94" spans="1:17" ht="13.5" thickBot="1">
      <c r="C94" s="511" t="s">
        <v>296</v>
      </c>
      <c r="D94" s="512"/>
      <c r="E94" s="512"/>
      <c r="F94" s="512"/>
      <c r="G94" s="512"/>
      <c r="H94" s="512"/>
      <c r="I94" s="512"/>
      <c r="J94" s="512"/>
      <c r="Q94"/>
    </row>
    <row r="95" spans="1:17" ht="15">
      <c r="A95" s="553"/>
      <c r="C95" s="514" t="s">
        <v>274</v>
      </c>
      <c r="D95" s="669">
        <v>0</v>
      </c>
      <c r="E95" s="4" t="s">
        <v>275</v>
      </c>
      <c r="H95" s="81"/>
      <c r="I95" s="81"/>
      <c r="J95" s="515">
        <v>2024</v>
      </c>
      <c r="K95" s="141"/>
      <c r="L95" s="1250" t="s">
        <v>276</v>
      </c>
      <c r="M95" s="1250"/>
      <c r="N95" s="1250"/>
      <c r="O95" s="1250"/>
      <c r="Q95" s="141"/>
    </row>
    <row r="96" spans="1:17">
      <c r="A96" s="553"/>
      <c r="C96" s="514" t="s">
        <v>277</v>
      </c>
      <c r="D96" s="678">
        <v>0</v>
      </c>
      <c r="E96" s="514" t="s">
        <v>278</v>
      </c>
      <c r="F96" s="81"/>
      <c r="G96" s="81"/>
      <c r="I96"/>
      <c r="J96" s="672">
        <v>0</v>
      </c>
      <c r="K96" s="516"/>
      <c r="L96" s="489" t="s">
        <v>477</v>
      </c>
      <c r="Q96" s="516"/>
    </row>
    <row r="97" spans="1:17">
      <c r="A97" s="553"/>
      <c r="C97" s="514" t="s">
        <v>279</v>
      </c>
      <c r="D97" s="670">
        <v>0</v>
      </c>
      <c r="E97" s="514" t="s">
        <v>280</v>
      </c>
      <c r="F97" s="81"/>
      <c r="G97" s="81"/>
      <c r="I97"/>
      <c r="J97" s="517">
        <f>$F$70</f>
        <v>0.1146298035621662</v>
      </c>
      <c r="K97" s="83"/>
      <c r="L97" s="4" t="str">
        <f>"          INPUT TRUE-UP ARR (WITH &amp; WITHOUT INCENTIVES) FROM EACH PRIOR YEAR"</f>
        <v xml:space="preserve">          INPUT TRUE-UP ARR (WITH &amp; WITHOUT INCENTIVES) FROM EACH PRIOR YEAR</v>
      </c>
      <c r="Q97" s="83"/>
    </row>
    <row r="98" spans="1:17">
      <c r="A98" s="553"/>
      <c r="C98" s="514" t="s">
        <v>281</v>
      </c>
      <c r="D98" s="518">
        <f>H79</f>
        <v>36</v>
      </c>
      <c r="E98" s="514" t="s">
        <v>282</v>
      </c>
      <c r="F98" s="81"/>
      <c r="G98" s="81"/>
      <c r="I98"/>
      <c r="J98" s="517">
        <f>IF(H89="",J97,$F$69)</f>
        <v>0.1146298035621662</v>
      </c>
      <c r="K98" s="83"/>
      <c r="L98" s="4" t="s">
        <v>364</v>
      </c>
      <c r="M98" s="83"/>
      <c r="N98" s="83"/>
      <c r="O98" s="83"/>
      <c r="Q98" s="83"/>
    </row>
    <row r="99" spans="1:17" ht="13.5" thickBot="1">
      <c r="A99" s="553"/>
      <c r="C99" s="514" t="s">
        <v>283</v>
      </c>
      <c r="D99" s="671">
        <v>0</v>
      </c>
      <c r="E99" s="519" t="s">
        <v>284</v>
      </c>
      <c r="F99" s="520"/>
      <c r="G99" s="520"/>
      <c r="H99" s="521"/>
      <c r="I99" s="521"/>
      <c r="J99" s="507">
        <f>IF(D95=0,0,D95/D98)</f>
        <v>0</v>
      </c>
      <c r="K99" s="489"/>
      <c r="L99" s="489" t="s">
        <v>365</v>
      </c>
      <c r="M99" s="489"/>
      <c r="N99" s="489"/>
      <c r="O99" s="489"/>
      <c r="Q99" s="489"/>
    </row>
    <row r="100" spans="1:17" ht="38.25">
      <c r="A100" s="12"/>
      <c r="B100" s="12"/>
      <c r="C100" s="522" t="s">
        <v>274</v>
      </c>
      <c r="D100" s="523" t="s">
        <v>285</v>
      </c>
      <c r="E100" s="524" t="s">
        <v>286</v>
      </c>
      <c r="F100" s="523" t="s">
        <v>287</v>
      </c>
      <c r="G100" s="523" t="s">
        <v>460</v>
      </c>
      <c r="H100" s="524" t="s">
        <v>358</v>
      </c>
      <c r="I100" s="525" t="s">
        <v>358</v>
      </c>
      <c r="J100" s="522" t="s">
        <v>297</v>
      </c>
      <c r="K100" s="526"/>
      <c r="L100" s="524" t="s">
        <v>360</v>
      </c>
      <c r="M100" s="524" t="s">
        <v>366</v>
      </c>
      <c r="N100" s="524" t="s">
        <v>360</v>
      </c>
      <c r="O100" s="524" t="s">
        <v>368</v>
      </c>
      <c r="P100" s="524" t="s">
        <v>288</v>
      </c>
      <c r="Q100" s="134"/>
    </row>
    <row r="101" spans="1:17" ht="13.5" thickBot="1">
      <c r="C101" s="528" t="s">
        <v>179</v>
      </c>
      <c r="D101" s="529" t="s">
        <v>180</v>
      </c>
      <c r="E101" s="528" t="s">
        <v>38</v>
      </c>
      <c r="F101" s="529" t="s">
        <v>180</v>
      </c>
      <c r="G101" s="529" t="s">
        <v>180</v>
      </c>
      <c r="H101" s="530" t="s">
        <v>300</v>
      </c>
      <c r="I101" s="531" t="s">
        <v>302</v>
      </c>
      <c r="J101" s="528" t="s">
        <v>391</v>
      </c>
      <c r="K101" s="532"/>
      <c r="L101" s="530" t="s">
        <v>289</v>
      </c>
      <c r="M101" s="530" t="s">
        <v>289</v>
      </c>
      <c r="N101" s="530" t="s">
        <v>469</v>
      </c>
      <c r="O101" s="530" t="s">
        <v>469</v>
      </c>
      <c r="P101" s="530" t="s">
        <v>469</v>
      </c>
      <c r="Q101" s="141"/>
    </row>
    <row r="102" spans="1:17">
      <c r="C102" s="534">
        <f>IF(D96= "","-",D96)</f>
        <v>0</v>
      </c>
      <c r="D102" s="491">
        <f>+D95</f>
        <v>0</v>
      </c>
      <c r="E102" s="535">
        <f>+J99/12*(12-D97)</f>
        <v>0</v>
      </c>
      <c r="F102" s="580">
        <f t="shared" ref="F102:F133" si="0">+D102-E102</f>
        <v>0</v>
      </c>
      <c r="G102" s="491">
        <f t="shared" ref="G102:G133" si="1">+(D102+F102)/2</f>
        <v>0</v>
      </c>
      <c r="H102" s="536">
        <f>+J97*G102+E102</f>
        <v>0</v>
      </c>
      <c r="I102" s="537">
        <f>+J98*G102+E102</f>
        <v>0</v>
      </c>
      <c r="J102" s="538">
        <f t="shared" ref="J102:J133" si="2">+I102-H102</f>
        <v>0</v>
      </c>
      <c r="K102" s="538"/>
      <c r="L102" s="539"/>
      <c r="M102" s="581">
        <f t="shared" ref="M102:M133" si="3">IF(L102&lt;&gt;0,+H102-L102,0)</f>
        <v>0</v>
      </c>
      <c r="N102" s="539"/>
      <c r="O102" s="581">
        <f t="shared" ref="O102:O133" si="4">IF(N102&lt;&gt;0,+I102-N102,0)</f>
        <v>0</v>
      </c>
      <c r="P102" s="581">
        <f t="shared" ref="P102:P133" si="5">+O102-M102</f>
        <v>0</v>
      </c>
      <c r="Q102" s="493"/>
    </row>
    <row r="103" spans="1:17">
      <c r="C103" s="534">
        <f>IF(D96="","-",+C102+1)</f>
        <v>1</v>
      </c>
      <c r="D103" s="491">
        <f t="shared" ref="D103:D134" si="6">F102</f>
        <v>0</v>
      </c>
      <c r="E103" s="541">
        <f t="shared" ref="E103:E134" si="7">IF(D103&gt;$J$99,$J$99,D103)</f>
        <v>0</v>
      </c>
      <c r="F103" s="541">
        <f t="shared" si="0"/>
        <v>0</v>
      </c>
      <c r="G103" s="491">
        <f t="shared" si="1"/>
        <v>0</v>
      </c>
      <c r="H103" s="535">
        <f>+J97*G103+E103</f>
        <v>0</v>
      </c>
      <c r="I103" s="542">
        <f>+J98*G103+E103</f>
        <v>0</v>
      </c>
      <c r="J103" s="538">
        <f t="shared" si="2"/>
        <v>0</v>
      </c>
      <c r="K103" s="538"/>
      <c r="L103" s="543"/>
      <c r="M103" s="538">
        <f t="shared" si="3"/>
        <v>0</v>
      </c>
      <c r="N103" s="543"/>
      <c r="O103" s="538">
        <f t="shared" si="4"/>
        <v>0</v>
      </c>
      <c r="P103" s="538">
        <f t="shared" si="5"/>
        <v>0</v>
      </c>
      <c r="Q103" s="493"/>
    </row>
    <row r="104" spans="1:17">
      <c r="C104" s="534">
        <f>IF(D96="","-",+C103+1)</f>
        <v>2</v>
      </c>
      <c r="D104" s="491">
        <f t="shared" si="6"/>
        <v>0</v>
      </c>
      <c r="E104" s="541">
        <f t="shared" si="7"/>
        <v>0</v>
      </c>
      <c r="F104" s="541">
        <f t="shared" si="0"/>
        <v>0</v>
      </c>
      <c r="G104" s="491">
        <f t="shared" si="1"/>
        <v>0</v>
      </c>
      <c r="H104" s="535">
        <f>+J97*G104+E104</f>
        <v>0</v>
      </c>
      <c r="I104" s="542">
        <f>+J98*G104+E104</f>
        <v>0</v>
      </c>
      <c r="J104" s="538">
        <f t="shared" si="2"/>
        <v>0</v>
      </c>
      <c r="K104" s="538"/>
      <c r="L104" s="543"/>
      <c r="M104" s="538">
        <f t="shared" si="3"/>
        <v>0</v>
      </c>
      <c r="N104" s="543"/>
      <c r="O104" s="538">
        <f t="shared" si="4"/>
        <v>0</v>
      </c>
      <c r="P104" s="538">
        <f t="shared" si="5"/>
        <v>0</v>
      </c>
      <c r="Q104" s="493"/>
    </row>
    <row r="105" spans="1:17">
      <c r="C105" s="534">
        <f>IF(D96="","-",+C104+1)</f>
        <v>3</v>
      </c>
      <c r="D105" s="491">
        <f t="shared" si="6"/>
        <v>0</v>
      </c>
      <c r="E105" s="541">
        <f t="shared" si="7"/>
        <v>0</v>
      </c>
      <c r="F105" s="541">
        <f t="shared" si="0"/>
        <v>0</v>
      </c>
      <c r="G105" s="491">
        <f t="shared" si="1"/>
        <v>0</v>
      </c>
      <c r="H105" s="535">
        <f>+J97*G105+E105</f>
        <v>0</v>
      </c>
      <c r="I105" s="542">
        <f>+J98*G105+E105</f>
        <v>0</v>
      </c>
      <c r="J105" s="538">
        <f t="shared" si="2"/>
        <v>0</v>
      </c>
      <c r="K105" s="538"/>
      <c r="L105" s="543"/>
      <c r="M105" s="538">
        <f t="shared" si="3"/>
        <v>0</v>
      </c>
      <c r="N105" s="543"/>
      <c r="O105" s="538">
        <f t="shared" si="4"/>
        <v>0</v>
      </c>
      <c r="P105" s="538">
        <f t="shared" si="5"/>
        <v>0</v>
      </c>
      <c r="Q105" s="493"/>
    </row>
    <row r="106" spans="1:17">
      <c r="C106" s="534">
        <f>IF(D96="","-",+C105+1)</f>
        <v>4</v>
      </c>
      <c r="D106" s="491">
        <f t="shared" si="6"/>
        <v>0</v>
      </c>
      <c r="E106" s="541">
        <f t="shared" si="7"/>
        <v>0</v>
      </c>
      <c r="F106" s="541">
        <f t="shared" si="0"/>
        <v>0</v>
      </c>
      <c r="G106" s="491">
        <f t="shared" si="1"/>
        <v>0</v>
      </c>
      <c r="H106" s="535">
        <f>+J97*G106+E106</f>
        <v>0</v>
      </c>
      <c r="I106" s="542">
        <f>+J98*G106+E106</f>
        <v>0</v>
      </c>
      <c r="J106" s="538">
        <f t="shared" si="2"/>
        <v>0</v>
      </c>
      <c r="K106" s="538"/>
      <c r="L106" s="543"/>
      <c r="M106" s="538">
        <f t="shared" si="3"/>
        <v>0</v>
      </c>
      <c r="N106" s="543"/>
      <c r="O106" s="538">
        <f t="shared" si="4"/>
        <v>0</v>
      </c>
      <c r="P106" s="538">
        <f t="shared" si="5"/>
        <v>0</v>
      </c>
      <c r="Q106" s="493"/>
    </row>
    <row r="107" spans="1:17">
      <c r="C107" s="534">
        <f>IF(D96="","-",+C106+1)</f>
        <v>5</v>
      </c>
      <c r="D107" s="491">
        <f t="shared" si="6"/>
        <v>0</v>
      </c>
      <c r="E107" s="541">
        <f t="shared" si="7"/>
        <v>0</v>
      </c>
      <c r="F107" s="541">
        <f t="shared" si="0"/>
        <v>0</v>
      </c>
      <c r="G107" s="491">
        <f t="shared" si="1"/>
        <v>0</v>
      </c>
      <c r="H107" s="535">
        <f>+J97*G107+E107</f>
        <v>0</v>
      </c>
      <c r="I107" s="542">
        <f>+J98*G107+E107</f>
        <v>0</v>
      </c>
      <c r="J107" s="538">
        <f t="shared" si="2"/>
        <v>0</v>
      </c>
      <c r="K107" s="538"/>
      <c r="L107" s="543"/>
      <c r="M107" s="538">
        <f t="shared" si="3"/>
        <v>0</v>
      </c>
      <c r="N107" s="543"/>
      <c r="O107" s="538">
        <f t="shared" si="4"/>
        <v>0</v>
      </c>
      <c r="P107" s="538">
        <f t="shared" si="5"/>
        <v>0</v>
      </c>
      <c r="Q107" s="493"/>
    </row>
    <row r="108" spans="1:17">
      <c r="C108" s="534">
        <f>IF(D96="","-",+C107+1)</f>
        <v>6</v>
      </c>
      <c r="D108" s="491">
        <f t="shared" si="6"/>
        <v>0</v>
      </c>
      <c r="E108" s="541">
        <f t="shared" si="7"/>
        <v>0</v>
      </c>
      <c r="F108" s="541">
        <f t="shared" si="0"/>
        <v>0</v>
      </c>
      <c r="G108" s="491">
        <f t="shared" si="1"/>
        <v>0</v>
      </c>
      <c r="H108" s="535">
        <f>+J97*G108+E108</f>
        <v>0</v>
      </c>
      <c r="I108" s="542">
        <f>+J98*G108+E108</f>
        <v>0</v>
      </c>
      <c r="J108" s="538">
        <f t="shared" si="2"/>
        <v>0</v>
      </c>
      <c r="K108" s="538"/>
      <c r="L108" s="543"/>
      <c r="M108" s="538">
        <f t="shared" si="3"/>
        <v>0</v>
      </c>
      <c r="N108" s="543"/>
      <c r="O108" s="538">
        <f t="shared" si="4"/>
        <v>0</v>
      </c>
      <c r="P108" s="538">
        <f t="shared" si="5"/>
        <v>0</v>
      </c>
      <c r="Q108" s="493"/>
    </row>
    <row r="109" spans="1:17">
      <c r="C109" s="534">
        <f>IF(D96="","-",+C108+1)</f>
        <v>7</v>
      </c>
      <c r="D109" s="491">
        <f t="shared" si="6"/>
        <v>0</v>
      </c>
      <c r="E109" s="541">
        <f t="shared" si="7"/>
        <v>0</v>
      </c>
      <c r="F109" s="541">
        <f t="shared" si="0"/>
        <v>0</v>
      </c>
      <c r="G109" s="491">
        <f t="shared" si="1"/>
        <v>0</v>
      </c>
      <c r="H109" s="535">
        <f>+J97*G109+E109</f>
        <v>0</v>
      </c>
      <c r="I109" s="542">
        <f>+J98*G109+E109</f>
        <v>0</v>
      </c>
      <c r="J109" s="538">
        <f t="shared" si="2"/>
        <v>0</v>
      </c>
      <c r="K109" s="538"/>
      <c r="L109" s="543"/>
      <c r="M109" s="538">
        <f t="shared" si="3"/>
        <v>0</v>
      </c>
      <c r="N109" s="543"/>
      <c r="O109" s="538">
        <f t="shared" si="4"/>
        <v>0</v>
      </c>
      <c r="P109" s="538">
        <f t="shared" si="5"/>
        <v>0</v>
      </c>
      <c r="Q109" s="493"/>
    </row>
    <row r="110" spans="1:17">
      <c r="C110" s="534">
        <f>IF(D96="","-",+C109+1)</f>
        <v>8</v>
      </c>
      <c r="D110" s="491">
        <f t="shared" si="6"/>
        <v>0</v>
      </c>
      <c r="E110" s="541">
        <f t="shared" si="7"/>
        <v>0</v>
      </c>
      <c r="F110" s="541">
        <f t="shared" si="0"/>
        <v>0</v>
      </c>
      <c r="G110" s="491">
        <f t="shared" si="1"/>
        <v>0</v>
      </c>
      <c r="H110" s="535">
        <f>+J97*G110+E110</f>
        <v>0</v>
      </c>
      <c r="I110" s="542">
        <f>+J98*G110+E110</f>
        <v>0</v>
      </c>
      <c r="J110" s="538">
        <f t="shared" si="2"/>
        <v>0</v>
      </c>
      <c r="K110" s="538"/>
      <c r="L110" s="543"/>
      <c r="M110" s="538">
        <f t="shared" si="3"/>
        <v>0</v>
      </c>
      <c r="N110" s="543"/>
      <c r="O110" s="538">
        <f t="shared" si="4"/>
        <v>0</v>
      </c>
      <c r="P110" s="538">
        <f t="shared" si="5"/>
        <v>0</v>
      </c>
      <c r="Q110" s="493"/>
    </row>
    <row r="111" spans="1:17">
      <c r="C111" s="534">
        <f>IF(D96="","-",+C110+1)</f>
        <v>9</v>
      </c>
      <c r="D111" s="491">
        <f t="shared" si="6"/>
        <v>0</v>
      </c>
      <c r="E111" s="541">
        <f t="shared" si="7"/>
        <v>0</v>
      </c>
      <c r="F111" s="541">
        <f t="shared" si="0"/>
        <v>0</v>
      </c>
      <c r="G111" s="491">
        <f t="shared" si="1"/>
        <v>0</v>
      </c>
      <c r="H111" s="535">
        <f>+J97*G111+E111</f>
        <v>0</v>
      </c>
      <c r="I111" s="542">
        <f>+J98*G111+E111</f>
        <v>0</v>
      </c>
      <c r="J111" s="538">
        <f t="shared" si="2"/>
        <v>0</v>
      </c>
      <c r="K111" s="538"/>
      <c r="L111" s="543"/>
      <c r="M111" s="538">
        <f t="shared" si="3"/>
        <v>0</v>
      </c>
      <c r="N111" s="543"/>
      <c r="O111" s="538">
        <f t="shared" si="4"/>
        <v>0</v>
      </c>
      <c r="P111" s="538">
        <f t="shared" si="5"/>
        <v>0</v>
      </c>
      <c r="Q111" s="493"/>
    </row>
    <row r="112" spans="1:17">
      <c r="C112" s="534">
        <f>IF(D96="","-",+C111+1)</f>
        <v>10</v>
      </c>
      <c r="D112" s="491">
        <f t="shared" si="6"/>
        <v>0</v>
      </c>
      <c r="E112" s="541">
        <f t="shared" si="7"/>
        <v>0</v>
      </c>
      <c r="F112" s="541">
        <f t="shared" si="0"/>
        <v>0</v>
      </c>
      <c r="G112" s="491">
        <f t="shared" si="1"/>
        <v>0</v>
      </c>
      <c r="H112" s="535">
        <f>+J97*G112+E112</f>
        <v>0</v>
      </c>
      <c r="I112" s="542">
        <f>+J98*G112+E112</f>
        <v>0</v>
      </c>
      <c r="J112" s="538">
        <f t="shared" si="2"/>
        <v>0</v>
      </c>
      <c r="K112" s="538"/>
      <c r="L112" s="543"/>
      <c r="M112" s="538">
        <f t="shared" si="3"/>
        <v>0</v>
      </c>
      <c r="N112" s="543"/>
      <c r="O112" s="538">
        <f t="shared" si="4"/>
        <v>0</v>
      </c>
      <c r="P112" s="538">
        <f t="shared" si="5"/>
        <v>0</v>
      </c>
      <c r="Q112" s="493"/>
    </row>
    <row r="113" spans="3:17">
      <c r="C113" s="534">
        <f>IF(D96="","-",+C112+1)</f>
        <v>11</v>
      </c>
      <c r="D113" s="491">
        <f t="shared" si="6"/>
        <v>0</v>
      </c>
      <c r="E113" s="541">
        <f t="shared" si="7"/>
        <v>0</v>
      </c>
      <c r="F113" s="541">
        <f t="shared" si="0"/>
        <v>0</v>
      </c>
      <c r="G113" s="491">
        <f t="shared" si="1"/>
        <v>0</v>
      </c>
      <c r="H113" s="535">
        <f>+J97*G113+E113</f>
        <v>0</v>
      </c>
      <c r="I113" s="542">
        <f>+J98*G113+E113</f>
        <v>0</v>
      </c>
      <c r="J113" s="538">
        <f t="shared" si="2"/>
        <v>0</v>
      </c>
      <c r="K113" s="538"/>
      <c r="L113" s="543"/>
      <c r="M113" s="538">
        <f t="shared" si="3"/>
        <v>0</v>
      </c>
      <c r="N113" s="543"/>
      <c r="O113" s="538">
        <f t="shared" si="4"/>
        <v>0</v>
      </c>
      <c r="P113" s="538">
        <f t="shared" si="5"/>
        <v>0</v>
      </c>
      <c r="Q113" s="493"/>
    </row>
    <row r="114" spans="3:17">
      <c r="C114" s="534">
        <f>IF(D96="","-",+C113+1)</f>
        <v>12</v>
      </c>
      <c r="D114" s="491">
        <f t="shared" si="6"/>
        <v>0</v>
      </c>
      <c r="E114" s="541">
        <f t="shared" si="7"/>
        <v>0</v>
      </c>
      <c r="F114" s="541">
        <f t="shared" si="0"/>
        <v>0</v>
      </c>
      <c r="G114" s="491">
        <f t="shared" si="1"/>
        <v>0</v>
      </c>
      <c r="H114" s="535">
        <f>+J97*G114+E114</f>
        <v>0</v>
      </c>
      <c r="I114" s="542">
        <f>+J98*G114+E114</f>
        <v>0</v>
      </c>
      <c r="J114" s="538">
        <f t="shared" si="2"/>
        <v>0</v>
      </c>
      <c r="K114" s="538"/>
      <c r="L114" s="543"/>
      <c r="M114" s="538">
        <f t="shared" si="3"/>
        <v>0</v>
      </c>
      <c r="N114" s="543"/>
      <c r="O114" s="538">
        <f t="shared" si="4"/>
        <v>0</v>
      </c>
      <c r="P114" s="538">
        <f t="shared" si="5"/>
        <v>0</v>
      </c>
      <c r="Q114" s="493"/>
    </row>
    <row r="115" spans="3:17">
      <c r="C115" s="534">
        <f>IF(D96="","-",+C114+1)</f>
        <v>13</v>
      </c>
      <c r="D115" s="491">
        <f t="shared" si="6"/>
        <v>0</v>
      </c>
      <c r="E115" s="541">
        <f t="shared" si="7"/>
        <v>0</v>
      </c>
      <c r="F115" s="541">
        <f t="shared" si="0"/>
        <v>0</v>
      </c>
      <c r="G115" s="491">
        <f t="shared" si="1"/>
        <v>0</v>
      </c>
      <c r="H115" s="535">
        <f>+J97*G115+E115</f>
        <v>0</v>
      </c>
      <c r="I115" s="542">
        <f>+J98*G115+E115</f>
        <v>0</v>
      </c>
      <c r="J115" s="538">
        <f t="shared" si="2"/>
        <v>0</v>
      </c>
      <c r="K115" s="538"/>
      <c r="L115" s="543"/>
      <c r="M115" s="538">
        <f t="shared" si="3"/>
        <v>0</v>
      </c>
      <c r="N115" s="543"/>
      <c r="O115" s="538">
        <f t="shared" si="4"/>
        <v>0</v>
      </c>
      <c r="P115" s="538">
        <f t="shared" si="5"/>
        <v>0</v>
      </c>
      <c r="Q115" s="493"/>
    </row>
    <row r="116" spans="3:17">
      <c r="C116" s="534">
        <f>IF(D96="","-",+C115+1)</f>
        <v>14</v>
      </c>
      <c r="D116" s="491">
        <f t="shared" si="6"/>
        <v>0</v>
      </c>
      <c r="E116" s="541">
        <f t="shared" si="7"/>
        <v>0</v>
      </c>
      <c r="F116" s="541">
        <f t="shared" si="0"/>
        <v>0</v>
      </c>
      <c r="G116" s="491">
        <f t="shared" si="1"/>
        <v>0</v>
      </c>
      <c r="H116" s="535">
        <f>+J97*G116+E116</f>
        <v>0</v>
      </c>
      <c r="I116" s="542">
        <f>+J98*G116+E116</f>
        <v>0</v>
      </c>
      <c r="J116" s="538">
        <f t="shared" si="2"/>
        <v>0</v>
      </c>
      <c r="K116" s="538"/>
      <c r="L116" s="543"/>
      <c r="M116" s="538">
        <f t="shared" si="3"/>
        <v>0</v>
      </c>
      <c r="N116" s="543"/>
      <c r="O116" s="538">
        <f t="shared" si="4"/>
        <v>0</v>
      </c>
      <c r="P116" s="538">
        <f t="shared" si="5"/>
        <v>0</v>
      </c>
      <c r="Q116" s="493"/>
    </row>
    <row r="117" spans="3:17">
      <c r="C117" s="534">
        <f>IF(D96="","-",+C116+1)</f>
        <v>15</v>
      </c>
      <c r="D117" s="491">
        <f t="shared" si="6"/>
        <v>0</v>
      </c>
      <c r="E117" s="541">
        <f t="shared" si="7"/>
        <v>0</v>
      </c>
      <c r="F117" s="541">
        <f t="shared" si="0"/>
        <v>0</v>
      </c>
      <c r="G117" s="491">
        <f t="shared" si="1"/>
        <v>0</v>
      </c>
      <c r="H117" s="535">
        <f>+J97*G117+E117</f>
        <v>0</v>
      </c>
      <c r="I117" s="542">
        <f>+J98*G117+E117</f>
        <v>0</v>
      </c>
      <c r="J117" s="538">
        <f t="shared" si="2"/>
        <v>0</v>
      </c>
      <c r="K117" s="538"/>
      <c r="L117" s="543"/>
      <c r="M117" s="538">
        <f t="shared" si="3"/>
        <v>0</v>
      </c>
      <c r="N117" s="543"/>
      <c r="O117" s="538">
        <f t="shared" si="4"/>
        <v>0</v>
      </c>
      <c r="P117" s="538">
        <f t="shared" si="5"/>
        <v>0</v>
      </c>
      <c r="Q117" s="493"/>
    </row>
    <row r="118" spans="3:17">
      <c r="C118" s="534">
        <f>IF(D96="","-",+C117+1)</f>
        <v>16</v>
      </c>
      <c r="D118" s="491">
        <f t="shared" si="6"/>
        <v>0</v>
      </c>
      <c r="E118" s="541">
        <f t="shared" si="7"/>
        <v>0</v>
      </c>
      <c r="F118" s="541">
        <f t="shared" si="0"/>
        <v>0</v>
      </c>
      <c r="G118" s="491">
        <f t="shared" si="1"/>
        <v>0</v>
      </c>
      <c r="H118" s="535">
        <f>+J97*G118+E118</f>
        <v>0</v>
      </c>
      <c r="I118" s="542">
        <f>+J98*G118+E118</f>
        <v>0</v>
      </c>
      <c r="J118" s="538">
        <f t="shared" si="2"/>
        <v>0</v>
      </c>
      <c r="K118" s="538"/>
      <c r="L118" s="543"/>
      <c r="M118" s="538">
        <f t="shared" si="3"/>
        <v>0</v>
      </c>
      <c r="N118" s="543"/>
      <c r="O118" s="538">
        <f t="shared" si="4"/>
        <v>0</v>
      </c>
      <c r="P118" s="538">
        <f t="shared" si="5"/>
        <v>0</v>
      </c>
      <c r="Q118" s="493"/>
    </row>
    <row r="119" spans="3:17">
      <c r="C119" s="534">
        <f>IF(D96="","-",+C118+1)</f>
        <v>17</v>
      </c>
      <c r="D119" s="491">
        <f t="shared" si="6"/>
        <v>0</v>
      </c>
      <c r="E119" s="541">
        <f t="shared" si="7"/>
        <v>0</v>
      </c>
      <c r="F119" s="541">
        <f t="shared" si="0"/>
        <v>0</v>
      </c>
      <c r="G119" s="491">
        <f t="shared" si="1"/>
        <v>0</v>
      </c>
      <c r="H119" s="535">
        <f>+J97*G119+E119</f>
        <v>0</v>
      </c>
      <c r="I119" s="542">
        <f>+J98*G119+E119</f>
        <v>0</v>
      </c>
      <c r="J119" s="538">
        <f t="shared" si="2"/>
        <v>0</v>
      </c>
      <c r="K119" s="538"/>
      <c r="L119" s="543"/>
      <c r="M119" s="538">
        <f t="shared" si="3"/>
        <v>0</v>
      </c>
      <c r="N119" s="543"/>
      <c r="O119" s="538">
        <f t="shared" si="4"/>
        <v>0</v>
      </c>
      <c r="P119" s="538">
        <f t="shared" si="5"/>
        <v>0</v>
      </c>
      <c r="Q119" s="493"/>
    </row>
    <row r="120" spans="3:17">
      <c r="C120" s="534">
        <f>IF(D96="","-",+C119+1)</f>
        <v>18</v>
      </c>
      <c r="D120" s="491">
        <f t="shared" si="6"/>
        <v>0</v>
      </c>
      <c r="E120" s="541">
        <f t="shared" si="7"/>
        <v>0</v>
      </c>
      <c r="F120" s="541">
        <f t="shared" si="0"/>
        <v>0</v>
      </c>
      <c r="G120" s="491">
        <f t="shared" si="1"/>
        <v>0</v>
      </c>
      <c r="H120" s="535">
        <f>+J97*G120+E120</f>
        <v>0</v>
      </c>
      <c r="I120" s="542">
        <f>+J98*G120+E120</f>
        <v>0</v>
      </c>
      <c r="J120" s="538">
        <f t="shared" si="2"/>
        <v>0</v>
      </c>
      <c r="K120" s="538"/>
      <c r="L120" s="543"/>
      <c r="M120" s="538">
        <f t="shared" si="3"/>
        <v>0</v>
      </c>
      <c r="N120" s="543"/>
      <c r="O120" s="538">
        <f t="shared" si="4"/>
        <v>0</v>
      </c>
      <c r="P120" s="538">
        <f t="shared" si="5"/>
        <v>0</v>
      </c>
      <c r="Q120" s="493"/>
    </row>
    <row r="121" spans="3:17">
      <c r="C121" s="534">
        <f>IF(D96="","-",+C120+1)</f>
        <v>19</v>
      </c>
      <c r="D121" s="491">
        <f t="shared" si="6"/>
        <v>0</v>
      </c>
      <c r="E121" s="541">
        <f t="shared" si="7"/>
        <v>0</v>
      </c>
      <c r="F121" s="541">
        <f t="shared" si="0"/>
        <v>0</v>
      </c>
      <c r="G121" s="491">
        <f t="shared" si="1"/>
        <v>0</v>
      </c>
      <c r="H121" s="535">
        <f>+J97*G121+E121</f>
        <v>0</v>
      </c>
      <c r="I121" s="542">
        <f>+J98*G121+E121</f>
        <v>0</v>
      </c>
      <c r="J121" s="538">
        <f t="shared" si="2"/>
        <v>0</v>
      </c>
      <c r="K121" s="538"/>
      <c r="L121" s="543"/>
      <c r="M121" s="538">
        <f t="shared" si="3"/>
        <v>0</v>
      </c>
      <c r="N121" s="543"/>
      <c r="O121" s="538">
        <f t="shared" si="4"/>
        <v>0</v>
      </c>
      <c r="P121" s="538">
        <f t="shared" si="5"/>
        <v>0</v>
      </c>
      <c r="Q121" s="493"/>
    </row>
    <row r="122" spans="3:17">
      <c r="C122" s="534">
        <f>IF(D96="","-",+C121+1)</f>
        <v>20</v>
      </c>
      <c r="D122" s="491">
        <f t="shared" si="6"/>
        <v>0</v>
      </c>
      <c r="E122" s="541">
        <f t="shared" si="7"/>
        <v>0</v>
      </c>
      <c r="F122" s="541">
        <f t="shared" si="0"/>
        <v>0</v>
      </c>
      <c r="G122" s="491">
        <f t="shared" si="1"/>
        <v>0</v>
      </c>
      <c r="H122" s="535">
        <f>+J97*G122+E122</f>
        <v>0</v>
      </c>
      <c r="I122" s="542">
        <f>+J98*G122+E122</f>
        <v>0</v>
      </c>
      <c r="J122" s="538">
        <f t="shared" si="2"/>
        <v>0</v>
      </c>
      <c r="K122" s="538"/>
      <c r="L122" s="543"/>
      <c r="M122" s="538">
        <f t="shared" si="3"/>
        <v>0</v>
      </c>
      <c r="N122" s="543"/>
      <c r="O122" s="538">
        <f t="shared" si="4"/>
        <v>0</v>
      </c>
      <c r="P122" s="538">
        <f t="shared" si="5"/>
        <v>0</v>
      </c>
      <c r="Q122" s="493"/>
    </row>
    <row r="123" spans="3:17">
      <c r="C123" s="534">
        <f>IF(D96="","-",+C122+1)</f>
        <v>21</v>
      </c>
      <c r="D123" s="491">
        <f t="shared" si="6"/>
        <v>0</v>
      </c>
      <c r="E123" s="541">
        <f t="shared" si="7"/>
        <v>0</v>
      </c>
      <c r="F123" s="541">
        <f t="shared" si="0"/>
        <v>0</v>
      </c>
      <c r="G123" s="491">
        <f t="shared" si="1"/>
        <v>0</v>
      </c>
      <c r="H123" s="535">
        <f>+J97*G123+E123</f>
        <v>0</v>
      </c>
      <c r="I123" s="542">
        <f>+J98*G123+E123</f>
        <v>0</v>
      </c>
      <c r="J123" s="538">
        <f t="shared" si="2"/>
        <v>0</v>
      </c>
      <c r="K123" s="538"/>
      <c r="L123" s="543"/>
      <c r="M123" s="538">
        <f t="shared" si="3"/>
        <v>0</v>
      </c>
      <c r="N123" s="543"/>
      <c r="O123" s="538">
        <f t="shared" si="4"/>
        <v>0</v>
      </c>
      <c r="P123" s="538">
        <f t="shared" si="5"/>
        <v>0</v>
      </c>
      <c r="Q123" s="493"/>
    </row>
    <row r="124" spans="3:17">
      <c r="C124" s="534">
        <f>IF(D96="","-",+C123+1)</f>
        <v>22</v>
      </c>
      <c r="D124" s="491">
        <f t="shared" si="6"/>
        <v>0</v>
      </c>
      <c r="E124" s="541">
        <f t="shared" si="7"/>
        <v>0</v>
      </c>
      <c r="F124" s="541">
        <f t="shared" si="0"/>
        <v>0</v>
      </c>
      <c r="G124" s="491">
        <f t="shared" si="1"/>
        <v>0</v>
      </c>
      <c r="H124" s="535">
        <f>+J97*G124+E124</f>
        <v>0</v>
      </c>
      <c r="I124" s="542">
        <f>+J98*G124+E124</f>
        <v>0</v>
      </c>
      <c r="J124" s="538">
        <f t="shared" si="2"/>
        <v>0</v>
      </c>
      <c r="K124" s="538"/>
      <c r="L124" s="543"/>
      <c r="M124" s="538">
        <f t="shared" si="3"/>
        <v>0</v>
      </c>
      <c r="N124" s="543"/>
      <c r="O124" s="538">
        <f t="shared" si="4"/>
        <v>0</v>
      </c>
      <c r="P124" s="538">
        <f t="shared" si="5"/>
        <v>0</v>
      </c>
      <c r="Q124" s="493"/>
    </row>
    <row r="125" spans="3:17">
      <c r="C125" s="534">
        <f>IF(D96="","-",+C124+1)</f>
        <v>23</v>
      </c>
      <c r="D125" s="491">
        <f t="shared" si="6"/>
        <v>0</v>
      </c>
      <c r="E125" s="541">
        <f t="shared" si="7"/>
        <v>0</v>
      </c>
      <c r="F125" s="541">
        <f t="shared" si="0"/>
        <v>0</v>
      </c>
      <c r="G125" s="491">
        <f t="shared" si="1"/>
        <v>0</v>
      </c>
      <c r="H125" s="535">
        <f>+J97*G125+E125</f>
        <v>0</v>
      </c>
      <c r="I125" s="542">
        <f>+J98*G125+E125</f>
        <v>0</v>
      </c>
      <c r="J125" s="538">
        <f t="shared" si="2"/>
        <v>0</v>
      </c>
      <c r="K125" s="538"/>
      <c r="L125" s="543"/>
      <c r="M125" s="538">
        <f t="shared" si="3"/>
        <v>0</v>
      </c>
      <c r="N125" s="543"/>
      <c r="O125" s="538">
        <f t="shared" si="4"/>
        <v>0</v>
      </c>
      <c r="P125" s="538">
        <f t="shared" si="5"/>
        <v>0</v>
      </c>
      <c r="Q125" s="493"/>
    </row>
    <row r="126" spans="3:17">
      <c r="C126" s="534">
        <f>IF(D96="","-",+C125+1)</f>
        <v>24</v>
      </c>
      <c r="D126" s="491">
        <f t="shared" si="6"/>
        <v>0</v>
      </c>
      <c r="E126" s="541">
        <f t="shared" si="7"/>
        <v>0</v>
      </c>
      <c r="F126" s="541">
        <f t="shared" si="0"/>
        <v>0</v>
      </c>
      <c r="G126" s="491">
        <f t="shared" si="1"/>
        <v>0</v>
      </c>
      <c r="H126" s="535">
        <f>+J97*G126+E126</f>
        <v>0</v>
      </c>
      <c r="I126" s="542">
        <f>+J98*G126+E126</f>
        <v>0</v>
      </c>
      <c r="J126" s="538">
        <f t="shared" si="2"/>
        <v>0</v>
      </c>
      <c r="K126" s="538"/>
      <c r="L126" s="543"/>
      <c r="M126" s="538">
        <f t="shared" si="3"/>
        <v>0</v>
      </c>
      <c r="N126" s="543"/>
      <c r="O126" s="538">
        <f t="shared" si="4"/>
        <v>0</v>
      </c>
      <c r="P126" s="538">
        <f t="shared" si="5"/>
        <v>0</v>
      </c>
      <c r="Q126" s="493"/>
    </row>
    <row r="127" spans="3:17">
      <c r="C127" s="534">
        <f>IF(D96="","-",+C126+1)</f>
        <v>25</v>
      </c>
      <c r="D127" s="491">
        <f t="shared" si="6"/>
        <v>0</v>
      </c>
      <c r="E127" s="541">
        <f t="shared" si="7"/>
        <v>0</v>
      </c>
      <c r="F127" s="541">
        <f t="shared" si="0"/>
        <v>0</v>
      </c>
      <c r="G127" s="491">
        <f t="shared" si="1"/>
        <v>0</v>
      </c>
      <c r="H127" s="535">
        <f>+J97*G127+E127</f>
        <v>0</v>
      </c>
      <c r="I127" s="542">
        <f>+J98*G127+E127</f>
        <v>0</v>
      </c>
      <c r="J127" s="538">
        <f t="shared" si="2"/>
        <v>0</v>
      </c>
      <c r="K127" s="538"/>
      <c r="L127" s="543"/>
      <c r="M127" s="538">
        <f t="shared" si="3"/>
        <v>0</v>
      </c>
      <c r="N127" s="543"/>
      <c r="O127" s="538">
        <f t="shared" si="4"/>
        <v>0</v>
      </c>
      <c r="P127" s="538">
        <f t="shared" si="5"/>
        <v>0</v>
      </c>
      <c r="Q127" s="493"/>
    </row>
    <row r="128" spans="3:17">
      <c r="C128" s="534">
        <f>IF(D96="","-",+C127+1)</f>
        <v>26</v>
      </c>
      <c r="D128" s="491">
        <f t="shared" si="6"/>
        <v>0</v>
      </c>
      <c r="E128" s="541">
        <f t="shared" si="7"/>
        <v>0</v>
      </c>
      <c r="F128" s="541">
        <f t="shared" si="0"/>
        <v>0</v>
      </c>
      <c r="G128" s="491">
        <f t="shared" si="1"/>
        <v>0</v>
      </c>
      <c r="H128" s="535">
        <f>+J97*G128+E128</f>
        <v>0</v>
      </c>
      <c r="I128" s="542">
        <f>+J98*G128+E128</f>
        <v>0</v>
      </c>
      <c r="J128" s="538">
        <f t="shared" si="2"/>
        <v>0</v>
      </c>
      <c r="K128" s="538"/>
      <c r="L128" s="543"/>
      <c r="M128" s="538">
        <f t="shared" si="3"/>
        <v>0</v>
      </c>
      <c r="N128" s="543"/>
      <c r="O128" s="538">
        <f t="shared" si="4"/>
        <v>0</v>
      </c>
      <c r="P128" s="538">
        <f t="shared" si="5"/>
        <v>0</v>
      </c>
      <c r="Q128" s="493"/>
    </row>
    <row r="129" spans="3:17">
      <c r="C129" s="534">
        <f>IF(D96="","-",+C128+1)</f>
        <v>27</v>
      </c>
      <c r="D129" s="491">
        <f t="shared" si="6"/>
        <v>0</v>
      </c>
      <c r="E129" s="541">
        <f t="shared" si="7"/>
        <v>0</v>
      </c>
      <c r="F129" s="541">
        <f t="shared" si="0"/>
        <v>0</v>
      </c>
      <c r="G129" s="491">
        <f t="shared" si="1"/>
        <v>0</v>
      </c>
      <c r="H129" s="535">
        <f>+J97*G129+E129</f>
        <v>0</v>
      </c>
      <c r="I129" s="542">
        <f>+J98*G129+E129</f>
        <v>0</v>
      </c>
      <c r="J129" s="538">
        <f t="shared" si="2"/>
        <v>0</v>
      </c>
      <c r="K129" s="538"/>
      <c r="L129" s="543"/>
      <c r="M129" s="538">
        <f t="shared" si="3"/>
        <v>0</v>
      </c>
      <c r="N129" s="543"/>
      <c r="O129" s="538">
        <f t="shared" si="4"/>
        <v>0</v>
      </c>
      <c r="P129" s="538">
        <f t="shared" si="5"/>
        <v>0</v>
      </c>
      <c r="Q129" s="493"/>
    </row>
    <row r="130" spans="3:17">
      <c r="C130" s="534">
        <f>IF(D96="","-",+C129+1)</f>
        <v>28</v>
      </c>
      <c r="D130" s="491">
        <f t="shared" si="6"/>
        <v>0</v>
      </c>
      <c r="E130" s="541">
        <f t="shared" si="7"/>
        <v>0</v>
      </c>
      <c r="F130" s="541">
        <f t="shared" si="0"/>
        <v>0</v>
      </c>
      <c r="G130" s="491">
        <f t="shared" si="1"/>
        <v>0</v>
      </c>
      <c r="H130" s="535">
        <f>+J97*G130+E130</f>
        <v>0</v>
      </c>
      <c r="I130" s="542">
        <f>+J98*G130+E130</f>
        <v>0</v>
      </c>
      <c r="J130" s="538">
        <f t="shared" si="2"/>
        <v>0</v>
      </c>
      <c r="K130" s="538"/>
      <c r="L130" s="543"/>
      <c r="M130" s="538">
        <f t="shared" si="3"/>
        <v>0</v>
      </c>
      <c r="N130" s="543"/>
      <c r="O130" s="538">
        <f t="shared" si="4"/>
        <v>0</v>
      </c>
      <c r="P130" s="538">
        <f t="shared" si="5"/>
        <v>0</v>
      </c>
      <c r="Q130" s="493"/>
    </row>
    <row r="131" spans="3:17">
      <c r="C131" s="534">
        <f>IF(D96="","-",+C130+1)</f>
        <v>29</v>
      </c>
      <c r="D131" s="491">
        <f t="shared" si="6"/>
        <v>0</v>
      </c>
      <c r="E131" s="541">
        <f t="shared" si="7"/>
        <v>0</v>
      </c>
      <c r="F131" s="541">
        <f t="shared" si="0"/>
        <v>0</v>
      </c>
      <c r="G131" s="491">
        <f t="shared" si="1"/>
        <v>0</v>
      </c>
      <c r="H131" s="535">
        <f>+J97*G131+E131</f>
        <v>0</v>
      </c>
      <c r="I131" s="542">
        <f>+J98*G131+E131</f>
        <v>0</v>
      </c>
      <c r="J131" s="538">
        <f t="shared" si="2"/>
        <v>0</v>
      </c>
      <c r="K131" s="538"/>
      <c r="L131" s="543"/>
      <c r="M131" s="538">
        <f t="shared" si="3"/>
        <v>0</v>
      </c>
      <c r="N131" s="543"/>
      <c r="O131" s="538">
        <f t="shared" si="4"/>
        <v>0</v>
      </c>
      <c r="P131" s="538">
        <f t="shared" si="5"/>
        <v>0</v>
      </c>
      <c r="Q131" s="493"/>
    </row>
    <row r="132" spans="3:17">
      <c r="C132" s="534">
        <f>IF(D96="","-",+C131+1)</f>
        <v>30</v>
      </c>
      <c r="D132" s="491">
        <f t="shared" si="6"/>
        <v>0</v>
      </c>
      <c r="E132" s="541">
        <f t="shared" si="7"/>
        <v>0</v>
      </c>
      <c r="F132" s="541">
        <f t="shared" si="0"/>
        <v>0</v>
      </c>
      <c r="G132" s="491">
        <f t="shared" si="1"/>
        <v>0</v>
      </c>
      <c r="H132" s="535">
        <f>+J97*G132+E132</f>
        <v>0</v>
      </c>
      <c r="I132" s="542">
        <f>+J98*G132+E132</f>
        <v>0</v>
      </c>
      <c r="J132" s="538">
        <f t="shared" si="2"/>
        <v>0</v>
      </c>
      <c r="K132" s="538"/>
      <c r="L132" s="543"/>
      <c r="M132" s="538">
        <f t="shared" si="3"/>
        <v>0</v>
      </c>
      <c r="N132" s="543"/>
      <c r="O132" s="538">
        <f t="shared" si="4"/>
        <v>0</v>
      </c>
      <c r="P132" s="538">
        <f t="shared" si="5"/>
        <v>0</v>
      </c>
      <c r="Q132" s="493"/>
    </row>
    <row r="133" spans="3:17">
      <c r="C133" s="534">
        <f>IF(D96="","-",+C132+1)</f>
        <v>31</v>
      </c>
      <c r="D133" s="491">
        <f t="shared" si="6"/>
        <v>0</v>
      </c>
      <c r="E133" s="541">
        <f t="shared" si="7"/>
        <v>0</v>
      </c>
      <c r="F133" s="541">
        <f t="shared" si="0"/>
        <v>0</v>
      </c>
      <c r="G133" s="491">
        <f t="shared" si="1"/>
        <v>0</v>
      </c>
      <c r="H133" s="535">
        <f>+J97*G133+E133</f>
        <v>0</v>
      </c>
      <c r="I133" s="542">
        <f>+J98*G133+E133</f>
        <v>0</v>
      </c>
      <c r="J133" s="538">
        <f t="shared" si="2"/>
        <v>0</v>
      </c>
      <c r="K133" s="538"/>
      <c r="L133" s="543"/>
      <c r="M133" s="538">
        <f t="shared" si="3"/>
        <v>0</v>
      </c>
      <c r="N133" s="543"/>
      <c r="O133" s="538">
        <f t="shared" si="4"/>
        <v>0</v>
      </c>
      <c r="P133" s="538">
        <f t="shared" si="5"/>
        <v>0</v>
      </c>
      <c r="Q133" s="493"/>
    </row>
    <row r="134" spans="3:17">
      <c r="C134" s="534">
        <f>IF(D96="","-",+C133+1)</f>
        <v>32</v>
      </c>
      <c r="D134" s="491">
        <f t="shared" si="6"/>
        <v>0</v>
      </c>
      <c r="E134" s="541">
        <f t="shared" si="7"/>
        <v>0</v>
      </c>
      <c r="F134" s="541">
        <f t="shared" ref="F134:F161" si="8">+D134-E134</f>
        <v>0</v>
      </c>
      <c r="G134" s="491">
        <f t="shared" ref="G134:G161" si="9">+(D134+F134)/2</f>
        <v>0</v>
      </c>
      <c r="H134" s="535">
        <f>+J97*G134+E134</f>
        <v>0</v>
      </c>
      <c r="I134" s="542">
        <f>+J98*G134+E134</f>
        <v>0</v>
      </c>
      <c r="J134" s="538">
        <f t="shared" ref="J134:J161" si="10">+I134-H134</f>
        <v>0</v>
      </c>
      <c r="K134" s="538"/>
      <c r="L134" s="543"/>
      <c r="M134" s="538">
        <f t="shared" ref="M134:M161" si="11">IF(L134&lt;&gt;0,+H134-L134,0)</f>
        <v>0</v>
      </c>
      <c r="N134" s="543"/>
      <c r="O134" s="538">
        <f t="shared" ref="O134:O161" si="12">IF(N134&lt;&gt;0,+I134-N134,0)</f>
        <v>0</v>
      </c>
      <c r="P134" s="538">
        <f t="shared" ref="P134:P161" si="13">+O134-M134</f>
        <v>0</v>
      </c>
      <c r="Q134" s="493"/>
    </row>
    <row r="135" spans="3:17">
      <c r="C135" s="534">
        <f>IF(D96="","-",+C134+1)</f>
        <v>33</v>
      </c>
      <c r="D135" s="491">
        <f t="shared" ref="D135:D161" si="14">F134</f>
        <v>0</v>
      </c>
      <c r="E135" s="541">
        <f t="shared" ref="E135:E161" si="15">IF(D135&gt;$J$99,$J$99,D135)</f>
        <v>0</v>
      </c>
      <c r="F135" s="541">
        <f t="shared" si="8"/>
        <v>0</v>
      </c>
      <c r="G135" s="491">
        <f t="shared" si="9"/>
        <v>0</v>
      </c>
      <c r="H135" s="535">
        <f>+J97*G135+E135</f>
        <v>0</v>
      </c>
      <c r="I135" s="542">
        <f>+J98*G135+E135</f>
        <v>0</v>
      </c>
      <c r="J135" s="538">
        <f t="shared" si="10"/>
        <v>0</v>
      </c>
      <c r="K135" s="538"/>
      <c r="L135" s="543"/>
      <c r="M135" s="538">
        <f t="shared" si="11"/>
        <v>0</v>
      </c>
      <c r="N135" s="543"/>
      <c r="O135" s="538">
        <f t="shared" si="12"/>
        <v>0</v>
      </c>
      <c r="P135" s="538">
        <f t="shared" si="13"/>
        <v>0</v>
      </c>
      <c r="Q135" s="493"/>
    </row>
    <row r="136" spans="3:17">
      <c r="C136" s="534">
        <f>IF(D96="","-",+C135+1)</f>
        <v>34</v>
      </c>
      <c r="D136" s="491">
        <f t="shared" si="14"/>
        <v>0</v>
      </c>
      <c r="E136" s="541">
        <f t="shared" si="15"/>
        <v>0</v>
      </c>
      <c r="F136" s="541">
        <f t="shared" si="8"/>
        <v>0</v>
      </c>
      <c r="G136" s="491">
        <f t="shared" si="9"/>
        <v>0</v>
      </c>
      <c r="H136" s="535">
        <f>+J97*G136+E136</f>
        <v>0</v>
      </c>
      <c r="I136" s="542">
        <f>+J98*G136+E136</f>
        <v>0</v>
      </c>
      <c r="J136" s="538">
        <f t="shared" si="10"/>
        <v>0</v>
      </c>
      <c r="K136" s="538"/>
      <c r="L136" s="543"/>
      <c r="M136" s="538">
        <f t="shared" si="11"/>
        <v>0</v>
      </c>
      <c r="N136" s="543"/>
      <c r="O136" s="538">
        <f t="shared" si="12"/>
        <v>0</v>
      </c>
      <c r="P136" s="538">
        <f t="shared" si="13"/>
        <v>0</v>
      </c>
      <c r="Q136" s="493"/>
    </row>
    <row r="137" spans="3:17">
      <c r="C137" s="534">
        <f>IF(D96="","-",+C136+1)</f>
        <v>35</v>
      </c>
      <c r="D137" s="491">
        <f t="shared" si="14"/>
        <v>0</v>
      </c>
      <c r="E137" s="541">
        <f t="shared" si="15"/>
        <v>0</v>
      </c>
      <c r="F137" s="541">
        <f t="shared" si="8"/>
        <v>0</v>
      </c>
      <c r="G137" s="491">
        <f t="shared" si="9"/>
        <v>0</v>
      </c>
      <c r="H137" s="535">
        <f>+J97*G137+E137</f>
        <v>0</v>
      </c>
      <c r="I137" s="542">
        <f>+J98*G137+E137</f>
        <v>0</v>
      </c>
      <c r="J137" s="538">
        <f t="shared" si="10"/>
        <v>0</v>
      </c>
      <c r="K137" s="538"/>
      <c r="L137" s="543"/>
      <c r="M137" s="538">
        <f t="shared" si="11"/>
        <v>0</v>
      </c>
      <c r="N137" s="543"/>
      <c r="O137" s="538">
        <f t="shared" si="12"/>
        <v>0</v>
      </c>
      <c r="P137" s="538">
        <f t="shared" si="13"/>
        <v>0</v>
      </c>
      <c r="Q137" s="493"/>
    </row>
    <row r="138" spans="3:17">
      <c r="C138" s="534">
        <f>IF(D96="","-",+C137+1)</f>
        <v>36</v>
      </c>
      <c r="D138" s="491">
        <f t="shared" si="14"/>
        <v>0</v>
      </c>
      <c r="E138" s="541">
        <f t="shared" si="15"/>
        <v>0</v>
      </c>
      <c r="F138" s="541">
        <f t="shared" si="8"/>
        <v>0</v>
      </c>
      <c r="G138" s="491">
        <f t="shared" si="9"/>
        <v>0</v>
      </c>
      <c r="H138" s="535">
        <f>+J97*G138+E138</f>
        <v>0</v>
      </c>
      <c r="I138" s="542">
        <f>+J98*G138+E138</f>
        <v>0</v>
      </c>
      <c r="J138" s="538">
        <f t="shared" si="10"/>
        <v>0</v>
      </c>
      <c r="K138" s="538"/>
      <c r="L138" s="543"/>
      <c r="M138" s="538">
        <f t="shared" si="11"/>
        <v>0</v>
      </c>
      <c r="N138" s="543"/>
      <c r="O138" s="538">
        <f t="shared" si="12"/>
        <v>0</v>
      </c>
      <c r="P138" s="538">
        <f t="shared" si="13"/>
        <v>0</v>
      </c>
      <c r="Q138" s="493"/>
    </row>
    <row r="139" spans="3:17">
      <c r="C139" s="534">
        <f>IF(D96="","-",+C138+1)</f>
        <v>37</v>
      </c>
      <c r="D139" s="491">
        <f t="shared" si="14"/>
        <v>0</v>
      </c>
      <c r="E139" s="541">
        <f t="shared" si="15"/>
        <v>0</v>
      </c>
      <c r="F139" s="541">
        <f t="shared" si="8"/>
        <v>0</v>
      </c>
      <c r="G139" s="491">
        <f t="shared" si="9"/>
        <v>0</v>
      </c>
      <c r="H139" s="535">
        <f>+J97*G139+E139</f>
        <v>0</v>
      </c>
      <c r="I139" s="542">
        <f>+J98*G139+E139</f>
        <v>0</v>
      </c>
      <c r="J139" s="538">
        <f t="shared" si="10"/>
        <v>0</v>
      </c>
      <c r="K139" s="538"/>
      <c r="L139" s="543"/>
      <c r="M139" s="538">
        <f t="shared" si="11"/>
        <v>0</v>
      </c>
      <c r="N139" s="543"/>
      <c r="O139" s="538">
        <f t="shared" si="12"/>
        <v>0</v>
      </c>
      <c r="P139" s="538">
        <f t="shared" si="13"/>
        <v>0</v>
      </c>
      <c r="Q139" s="493"/>
    </row>
    <row r="140" spans="3:17">
      <c r="C140" s="534">
        <f>IF(D96="","-",+C139+1)</f>
        <v>38</v>
      </c>
      <c r="D140" s="491">
        <f t="shared" si="14"/>
        <v>0</v>
      </c>
      <c r="E140" s="541">
        <f t="shared" si="15"/>
        <v>0</v>
      </c>
      <c r="F140" s="541">
        <f t="shared" si="8"/>
        <v>0</v>
      </c>
      <c r="G140" s="491">
        <f t="shared" si="9"/>
        <v>0</v>
      </c>
      <c r="H140" s="535">
        <f>+J97*G140+E140</f>
        <v>0</v>
      </c>
      <c r="I140" s="542">
        <f>+J98*G140+E140</f>
        <v>0</v>
      </c>
      <c r="J140" s="538">
        <f t="shared" si="10"/>
        <v>0</v>
      </c>
      <c r="K140" s="538"/>
      <c r="L140" s="543"/>
      <c r="M140" s="538">
        <f t="shared" si="11"/>
        <v>0</v>
      </c>
      <c r="N140" s="543"/>
      <c r="O140" s="538">
        <f t="shared" si="12"/>
        <v>0</v>
      </c>
      <c r="P140" s="538">
        <f t="shared" si="13"/>
        <v>0</v>
      </c>
      <c r="Q140" s="493"/>
    </row>
    <row r="141" spans="3:17">
      <c r="C141" s="534">
        <f>IF(D96="","-",+C140+1)</f>
        <v>39</v>
      </c>
      <c r="D141" s="491">
        <f t="shared" si="14"/>
        <v>0</v>
      </c>
      <c r="E141" s="541">
        <f t="shared" si="15"/>
        <v>0</v>
      </c>
      <c r="F141" s="541">
        <f t="shared" si="8"/>
        <v>0</v>
      </c>
      <c r="G141" s="491">
        <f t="shared" si="9"/>
        <v>0</v>
      </c>
      <c r="H141" s="535">
        <f>+J97*G141+E141</f>
        <v>0</v>
      </c>
      <c r="I141" s="542">
        <f>+J98*G141+E141</f>
        <v>0</v>
      </c>
      <c r="J141" s="538">
        <f t="shared" si="10"/>
        <v>0</v>
      </c>
      <c r="K141" s="538"/>
      <c r="L141" s="543"/>
      <c r="M141" s="538">
        <f t="shared" si="11"/>
        <v>0</v>
      </c>
      <c r="N141" s="543"/>
      <c r="O141" s="538">
        <f t="shared" si="12"/>
        <v>0</v>
      </c>
      <c r="P141" s="538">
        <f t="shared" si="13"/>
        <v>0</v>
      </c>
      <c r="Q141" s="493"/>
    </row>
    <row r="142" spans="3:17">
      <c r="C142" s="534">
        <f>IF(D96="","-",+C141+1)</f>
        <v>40</v>
      </c>
      <c r="D142" s="491">
        <f t="shared" si="14"/>
        <v>0</v>
      </c>
      <c r="E142" s="541">
        <f t="shared" si="15"/>
        <v>0</v>
      </c>
      <c r="F142" s="541">
        <f t="shared" si="8"/>
        <v>0</v>
      </c>
      <c r="G142" s="491">
        <v>0</v>
      </c>
      <c r="H142" s="535">
        <f>+J97*G142+E142</f>
        <v>0</v>
      </c>
      <c r="I142" s="542">
        <f>+J98*G142+E142</f>
        <v>0</v>
      </c>
      <c r="J142" s="538">
        <f t="shared" si="10"/>
        <v>0</v>
      </c>
      <c r="K142" s="538"/>
      <c r="L142" s="543"/>
      <c r="M142" s="538">
        <f t="shared" si="11"/>
        <v>0</v>
      </c>
      <c r="N142" s="543"/>
      <c r="O142" s="538">
        <f t="shared" si="12"/>
        <v>0</v>
      </c>
      <c r="P142" s="538">
        <f t="shared" si="13"/>
        <v>0</v>
      </c>
      <c r="Q142" s="493"/>
    </row>
    <row r="143" spans="3:17">
      <c r="C143" s="534">
        <f>IF(D96="","-",+C142+1)</f>
        <v>41</v>
      </c>
      <c r="D143" s="491">
        <f t="shared" si="14"/>
        <v>0</v>
      </c>
      <c r="E143" s="541">
        <f t="shared" si="15"/>
        <v>0</v>
      </c>
      <c r="F143" s="541">
        <f t="shared" si="8"/>
        <v>0</v>
      </c>
      <c r="G143" s="491">
        <f t="shared" si="9"/>
        <v>0</v>
      </c>
      <c r="H143" s="535">
        <f>+J97*G143+E143</f>
        <v>0</v>
      </c>
      <c r="I143" s="542">
        <f>+J98*G143+E143</f>
        <v>0</v>
      </c>
      <c r="J143" s="538">
        <f t="shared" si="10"/>
        <v>0</v>
      </c>
      <c r="K143" s="538"/>
      <c r="L143" s="543"/>
      <c r="M143" s="538">
        <f t="shared" si="11"/>
        <v>0</v>
      </c>
      <c r="N143" s="543"/>
      <c r="O143" s="538">
        <f t="shared" si="12"/>
        <v>0</v>
      </c>
      <c r="P143" s="538">
        <f t="shared" si="13"/>
        <v>0</v>
      </c>
      <c r="Q143" s="493"/>
    </row>
    <row r="144" spans="3:17">
      <c r="C144" s="534">
        <f>IF(D96="","-",+C143+1)</f>
        <v>42</v>
      </c>
      <c r="D144" s="491">
        <f t="shared" si="14"/>
        <v>0</v>
      </c>
      <c r="E144" s="541">
        <f t="shared" si="15"/>
        <v>0</v>
      </c>
      <c r="F144" s="541">
        <f t="shared" si="8"/>
        <v>0</v>
      </c>
      <c r="G144" s="491">
        <f t="shared" si="9"/>
        <v>0</v>
      </c>
      <c r="H144" s="535">
        <f>+J97*G144+E144</f>
        <v>0</v>
      </c>
      <c r="I144" s="542">
        <f>+J98*G144+E144</f>
        <v>0</v>
      </c>
      <c r="J144" s="538">
        <f t="shared" si="10"/>
        <v>0</v>
      </c>
      <c r="K144" s="538"/>
      <c r="L144" s="543"/>
      <c r="M144" s="538">
        <f t="shared" si="11"/>
        <v>0</v>
      </c>
      <c r="N144" s="543"/>
      <c r="O144" s="538">
        <f t="shared" si="12"/>
        <v>0</v>
      </c>
      <c r="P144" s="538">
        <f t="shared" si="13"/>
        <v>0</v>
      </c>
      <c r="Q144" s="493"/>
    </row>
    <row r="145" spans="3:17">
      <c r="C145" s="534">
        <f>IF(D96="","-",+C144+1)</f>
        <v>43</v>
      </c>
      <c r="D145" s="491">
        <f t="shared" si="14"/>
        <v>0</v>
      </c>
      <c r="E145" s="541">
        <f t="shared" si="15"/>
        <v>0</v>
      </c>
      <c r="F145" s="541">
        <f t="shared" si="8"/>
        <v>0</v>
      </c>
      <c r="G145" s="491">
        <f t="shared" si="9"/>
        <v>0</v>
      </c>
      <c r="H145" s="535">
        <f>+J97*G145+E145</f>
        <v>0</v>
      </c>
      <c r="I145" s="542">
        <f>+J98*G145+E145</f>
        <v>0</v>
      </c>
      <c r="J145" s="538">
        <f t="shared" si="10"/>
        <v>0</v>
      </c>
      <c r="K145" s="538"/>
      <c r="L145" s="543"/>
      <c r="M145" s="538">
        <f t="shared" si="11"/>
        <v>0</v>
      </c>
      <c r="N145" s="543"/>
      <c r="O145" s="538">
        <f t="shared" si="12"/>
        <v>0</v>
      </c>
      <c r="P145" s="538">
        <f t="shared" si="13"/>
        <v>0</v>
      </c>
      <c r="Q145" s="493"/>
    </row>
    <row r="146" spans="3:17">
      <c r="C146" s="534">
        <f>IF(D96="","-",+C145+1)</f>
        <v>44</v>
      </c>
      <c r="D146" s="491">
        <f t="shared" si="14"/>
        <v>0</v>
      </c>
      <c r="E146" s="541">
        <f t="shared" si="15"/>
        <v>0</v>
      </c>
      <c r="F146" s="541">
        <f t="shared" si="8"/>
        <v>0</v>
      </c>
      <c r="G146" s="491">
        <f t="shared" si="9"/>
        <v>0</v>
      </c>
      <c r="H146" s="535">
        <f>+J97*G146+E146</f>
        <v>0</v>
      </c>
      <c r="I146" s="542">
        <f>+J98*G146+E146</f>
        <v>0</v>
      </c>
      <c r="J146" s="538">
        <f t="shared" si="10"/>
        <v>0</v>
      </c>
      <c r="K146" s="538"/>
      <c r="L146" s="543"/>
      <c r="M146" s="538">
        <f t="shared" si="11"/>
        <v>0</v>
      </c>
      <c r="N146" s="543"/>
      <c r="O146" s="538">
        <f t="shared" si="12"/>
        <v>0</v>
      </c>
      <c r="P146" s="538">
        <f t="shared" si="13"/>
        <v>0</v>
      </c>
      <c r="Q146" s="493"/>
    </row>
    <row r="147" spans="3:17">
      <c r="C147" s="534">
        <f>IF(D96="","-",+C146+1)</f>
        <v>45</v>
      </c>
      <c r="D147" s="491">
        <f t="shared" si="14"/>
        <v>0</v>
      </c>
      <c r="E147" s="541">
        <f t="shared" si="15"/>
        <v>0</v>
      </c>
      <c r="F147" s="541">
        <f t="shared" si="8"/>
        <v>0</v>
      </c>
      <c r="G147" s="491">
        <f t="shared" si="9"/>
        <v>0</v>
      </c>
      <c r="H147" s="535">
        <f>+J97*G147+E147</f>
        <v>0</v>
      </c>
      <c r="I147" s="542">
        <f>+J98*G147+E147</f>
        <v>0</v>
      </c>
      <c r="J147" s="538">
        <f t="shared" si="10"/>
        <v>0</v>
      </c>
      <c r="K147" s="538"/>
      <c r="L147" s="543"/>
      <c r="M147" s="538">
        <f t="shared" si="11"/>
        <v>0</v>
      </c>
      <c r="N147" s="543"/>
      <c r="O147" s="538">
        <f t="shared" si="12"/>
        <v>0</v>
      </c>
      <c r="P147" s="538">
        <f t="shared" si="13"/>
        <v>0</v>
      </c>
      <c r="Q147" s="493"/>
    </row>
    <row r="148" spans="3:17">
      <c r="C148" s="534">
        <f>IF(D96="","-",+C147+1)</f>
        <v>46</v>
      </c>
      <c r="D148" s="491">
        <f t="shared" si="14"/>
        <v>0</v>
      </c>
      <c r="E148" s="541">
        <f t="shared" si="15"/>
        <v>0</v>
      </c>
      <c r="F148" s="541">
        <f t="shared" si="8"/>
        <v>0</v>
      </c>
      <c r="G148" s="491">
        <f t="shared" si="9"/>
        <v>0</v>
      </c>
      <c r="H148" s="535">
        <f>+J97*G148+E148</f>
        <v>0</v>
      </c>
      <c r="I148" s="542">
        <f>+J98*G148+E148</f>
        <v>0</v>
      </c>
      <c r="J148" s="538">
        <f t="shared" si="10"/>
        <v>0</v>
      </c>
      <c r="K148" s="538"/>
      <c r="L148" s="543"/>
      <c r="M148" s="538">
        <f t="shared" si="11"/>
        <v>0</v>
      </c>
      <c r="N148" s="543"/>
      <c r="O148" s="538">
        <f t="shared" si="12"/>
        <v>0</v>
      </c>
      <c r="P148" s="538">
        <f t="shared" si="13"/>
        <v>0</v>
      </c>
      <c r="Q148" s="493"/>
    </row>
    <row r="149" spans="3:17">
      <c r="C149" s="534">
        <f>IF(D96="","-",+C148+1)</f>
        <v>47</v>
      </c>
      <c r="D149" s="491">
        <f t="shared" si="14"/>
        <v>0</v>
      </c>
      <c r="E149" s="541">
        <f t="shared" si="15"/>
        <v>0</v>
      </c>
      <c r="F149" s="541">
        <f t="shared" si="8"/>
        <v>0</v>
      </c>
      <c r="G149" s="491">
        <f t="shared" si="9"/>
        <v>0</v>
      </c>
      <c r="H149" s="535">
        <f>+J97*G149+E149</f>
        <v>0</v>
      </c>
      <c r="I149" s="542">
        <f>+J98*G149+E149</f>
        <v>0</v>
      </c>
      <c r="J149" s="538">
        <f t="shared" si="10"/>
        <v>0</v>
      </c>
      <c r="K149" s="538"/>
      <c r="L149" s="543"/>
      <c r="M149" s="538">
        <f t="shared" si="11"/>
        <v>0</v>
      </c>
      <c r="N149" s="543"/>
      <c r="O149" s="538">
        <f t="shared" si="12"/>
        <v>0</v>
      </c>
      <c r="P149" s="538">
        <f t="shared" si="13"/>
        <v>0</v>
      </c>
      <c r="Q149" s="493"/>
    </row>
    <row r="150" spans="3:17">
      <c r="C150" s="534">
        <f>IF(D96="","-",+C149+1)</f>
        <v>48</v>
      </c>
      <c r="D150" s="491">
        <f t="shared" si="14"/>
        <v>0</v>
      </c>
      <c r="E150" s="541">
        <f t="shared" si="15"/>
        <v>0</v>
      </c>
      <c r="F150" s="541">
        <f t="shared" si="8"/>
        <v>0</v>
      </c>
      <c r="G150" s="491">
        <f t="shared" si="9"/>
        <v>0</v>
      </c>
      <c r="H150" s="535">
        <f>+J97*G150+E150</f>
        <v>0</v>
      </c>
      <c r="I150" s="542">
        <f>+J98*G150+E150</f>
        <v>0</v>
      </c>
      <c r="J150" s="538">
        <f t="shared" si="10"/>
        <v>0</v>
      </c>
      <c r="K150" s="538"/>
      <c r="L150" s="543"/>
      <c r="M150" s="538">
        <f t="shared" si="11"/>
        <v>0</v>
      </c>
      <c r="N150" s="543"/>
      <c r="O150" s="538">
        <f t="shared" si="12"/>
        <v>0</v>
      </c>
      <c r="P150" s="538">
        <f t="shared" si="13"/>
        <v>0</v>
      </c>
      <c r="Q150" s="493"/>
    </row>
    <row r="151" spans="3:17">
      <c r="C151" s="534">
        <f>IF(D96="","-",+C150+1)</f>
        <v>49</v>
      </c>
      <c r="D151" s="491">
        <f t="shared" si="14"/>
        <v>0</v>
      </c>
      <c r="E151" s="541">
        <f t="shared" si="15"/>
        <v>0</v>
      </c>
      <c r="F151" s="541">
        <f t="shared" si="8"/>
        <v>0</v>
      </c>
      <c r="G151" s="491">
        <f t="shared" si="9"/>
        <v>0</v>
      </c>
      <c r="H151" s="535">
        <f>+J97*G151+E151</f>
        <v>0</v>
      </c>
      <c r="I151" s="542">
        <f>+J98*G151+E151</f>
        <v>0</v>
      </c>
      <c r="J151" s="538">
        <f t="shared" si="10"/>
        <v>0</v>
      </c>
      <c r="K151" s="538"/>
      <c r="L151" s="543"/>
      <c r="M151" s="538">
        <f t="shared" si="11"/>
        <v>0</v>
      </c>
      <c r="N151" s="543"/>
      <c r="O151" s="538">
        <f t="shared" si="12"/>
        <v>0</v>
      </c>
      <c r="P151" s="538">
        <f t="shared" si="13"/>
        <v>0</v>
      </c>
      <c r="Q151" s="493"/>
    </row>
    <row r="152" spans="3:17">
      <c r="C152" s="534">
        <f>IF(D96="","-",+C151+1)</f>
        <v>50</v>
      </c>
      <c r="D152" s="491">
        <f t="shared" si="14"/>
        <v>0</v>
      </c>
      <c r="E152" s="541">
        <f t="shared" si="15"/>
        <v>0</v>
      </c>
      <c r="F152" s="541">
        <f t="shared" si="8"/>
        <v>0</v>
      </c>
      <c r="G152" s="491">
        <f t="shared" si="9"/>
        <v>0</v>
      </c>
      <c r="H152" s="535">
        <f>+J97*G152+E152</f>
        <v>0</v>
      </c>
      <c r="I152" s="542">
        <f>+J98*G152+E152</f>
        <v>0</v>
      </c>
      <c r="J152" s="538">
        <f t="shared" si="10"/>
        <v>0</v>
      </c>
      <c r="K152" s="538"/>
      <c r="L152" s="543"/>
      <c r="M152" s="538">
        <f t="shared" si="11"/>
        <v>0</v>
      </c>
      <c r="N152" s="543"/>
      <c r="O152" s="538">
        <f t="shared" si="12"/>
        <v>0</v>
      </c>
      <c r="P152" s="538">
        <f t="shared" si="13"/>
        <v>0</v>
      </c>
      <c r="Q152" s="493"/>
    </row>
    <row r="153" spans="3:17">
      <c r="C153" s="534">
        <f>IF(D96="","-",+C152+1)</f>
        <v>51</v>
      </c>
      <c r="D153" s="491">
        <f t="shared" si="14"/>
        <v>0</v>
      </c>
      <c r="E153" s="541">
        <f t="shared" si="15"/>
        <v>0</v>
      </c>
      <c r="F153" s="541">
        <f t="shared" si="8"/>
        <v>0</v>
      </c>
      <c r="G153" s="491">
        <f t="shared" si="9"/>
        <v>0</v>
      </c>
      <c r="H153" s="535">
        <f>+J97*G153+E153</f>
        <v>0</v>
      </c>
      <c r="I153" s="542">
        <f>+J98*G153+E153</f>
        <v>0</v>
      </c>
      <c r="J153" s="538">
        <f t="shared" si="10"/>
        <v>0</v>
      </c>
      <c r="K153" s="538"/>
      <c r="L153" s="543"/>
      <c r="M153" s="538">
        <f t="shared" si="11"/>
        <v>0</v>
      </c>
      <c r="N153" s="543"/>
      <c r="O153" s="538">
        <f t="shared" si="12"/>
        <v>0</v>
      </c>
      <c r="P153" s="538">
        <f t="shared" si="13"/>
        <v>0</v>
      </c>
      <c r="Q153" s="493"/>
    </row>
    <row r="154" spans="3:17">
      <c r="C154" s="534">
        <f>IF(D96="","-",+C153+1)</f>
        <v>52</v>
      </c>
      <c r="D154" s="491">
        <f t="shared" si="14"/>
        <v>0</v>
      </c>
      <c r="E154" s="541">
        <f t="shared" si="15"/>
        <v>0</v>
      </c>
      <c r="F154" s="541">
        <f t="shared" si="8"/>
        <v>0</v>
      </c>
      <c r="G154" s="491">
        <f t="shared" si="9"/>
        <v>0</v>
      </c>
      <c r="H154" s="535">
        <f>+J97*G154+E154</f>
        <v>0</v>
      </c>
      <c r="I154" s="542">
        <f>+J98*G154+E154</f>
        <v>0</v>
      </c>
      <c r="J154" s="538">
        <f t="shared" si="10"/>
        <v>0</v>
      </c>
      <c r="K154" s="538"/>
      <c r="L154" s="543"/>
      <c r="M154" s="538">
        <f t="shared" si="11"/>
        <v>0</v>
      </c>
      <c r="N154" s="543"/>
      <c r="O154" s="538">
        <f t="shared" si="12"/>
        <v>0</v>
      </c>
      <c r="P154" s="538">
        <f t="shared" si="13"/>
        <v>0</v>
      </c>
      <c r="Q154" s="493"/>
    </row>
    <row r="155" spans="3:17">
      <c r="C155" s="534">
        <f>IF(D96="","-",+C154+1)</f>
        <v>53</v>
      </c>
      <c r="D155" s="491">
        <f t="shared" si="14"/>
        <v>0</v>
      </c>
      <c r="E155" s="541">
        <f t="shared" si="15"/>
        <v>0</v>
      </c>
      <c r="F155" s="541">
        <f t="shared" si="8"/>
        <v>0</v>
      </c>
      <c r="G155" s="491">
        <f t="shared" si="9"/>
        <v>0</v>
      </c>
      <c r="H155" s="535">
        <f>+J97*G155+E155</f>
        <v>0</v>
      </c>
      <c r="I155" s="542">
        <f>+J98*G155+E155</f>
        <v>0</v>
      </c>
      <c r="J155" s="538">
        <f t="shared" si="10"/>
        <v>0</v>
      </c>
      <c r="K155" s="538"/>
      <c r="L155" s="543"/>
      <c r="M155" s="538">
        <f t="shared" si="11"/>
        <v>0</v>
      </c>
      <c r="N155" s="543"/>
      <c r="O155" s="538">
        <f t="shared" si="12"/>
        <v>0</v>
      </c>
      <c r="P155" s="538">
        <f t="shared" si="13"/>
        <v>0</v>
      </c>
      <c r="Q155" s="493"/>
    </row>
    <row r="156" spans="3:17">
      <c r="C156" s="534">
        <f>IF(D96="","-",+C155+1)</f>
        <v>54</v>
      </c>
      <c r="D156" s="491">
        <f t="shared" si="14"/>
        <v>0</v>
      </c>
      <c r="E156" s="541">
        <f t="shared" si="15"/>
        <v>0</v>
      </c>
      <c r="F156" s="541">
        <f t="shared" si="8"/>
        <v>0</v>
      </c>
      <c r="G156" s="491">
        <f t="shared" si="9"/>
        <v>0</v>
      </c>
      <c r="H156" s="535">
        <f>+J97*G156+E156</f>
        <v>0</v>
      </c>
      <c r="I156" s="542">
        <f>+J98*G156+E156</f>
        <v>0</v>
      </c>
      <c r="J156" s="538">
        <f t="shared" si="10"/>
        <v>0</v>
      </c>
      <c r="K156" s="538"/>
      <c r="L156" s="543"/>
      <c r="M156" s="538">
        <f t="shared" si="11"/>
        <v>0</v>
      </c>
      <c r="N156" s="543"/>
      <c r="O156" s="538">
        <f t="shared" si="12"/>
        <v>0</v>
      </c>
      <c r="P156" s="538">
        <f t="shared" si="13"/>
        <v>0</v>
      </c>
      <c r="Q156" s="493"/>
    </row>
    <row r="157" spans="3:17">
      <c r="C157" s="534">
        <f>IF(D96="","-",+C156+1)</f>
        <v>55</v>
      </c>
      <c r="D157" s="491">
        <f t="shared" si="14"/>
        <v>0</v>
      </c>
      <c r="E157" s="541">
        <f t="shared" si="15"/>
        <v>0</v>
      </c>
      <c r="F157" s="541">
        <f t="shared" si="8"/>
        <v>0</v>
      </c>
      <c r="G157" s="491">
        <f t="shared" si="9"/>
        <v>0</v>
      </c>
      <c r="H157" s="535">
        <f>+J97*G157+E157</f>
        <v>0</v>
      </c>
      <c r="I157" s="542">
        <f>+J98*G157+E157</f>
        <v>0</v>
      </c>
      <c r="J157" s="538">
        <f t="shared" si="10"/>
        <v>0</v>
      </c>
      <c r="K157" s="538"/>
      <c r="L157" s="543"/>
      <c r="M157" s="538">
        <f t="shared" si="11"/>
        <v>0</v>
      </c>
      <c r="N157" s="543"/>
      <c r="O157" s="538">
        <f t="shared" si="12"/>
        <v>0</v>
      </c>
      <c r="P157" s="538">
        <f t="shared" si="13"/>
        <v>0</v>
      </c>
      <c r="Q157" s="493"/>
    </row>
    <row r="158" spans="3:17">
      <c r="C158" s="534">
        <f>IF(D96="","-",+C157+1)</f>
        <v>56</v>
      </c>
      <c r="D158" s="491">
        <f t="shared" si="14"/>
        <v>0</v>
      </c>
      <c r="E158" s="541">
        <f t="shared" si="15"/>
        <v>0</v>
      </c>
      <c r="F158" s="541">
        <f t="shared" si="8"/>
        <v>0</v>
      </c>
      <c r="G158" s="491">
        <f t="shared" si="9"/>
        <v>0</v>
      </c>
      <c r="H158" s="535">
        <f>+J97*G158+E158</f>
        <v>0</v>
      </c>
      <c r="I158" s="542">
        <f>+J98*G158+E158</f>
        <v>0</v>
      </c>
      <c r="J158" s="538">
        <f t="shared" si="10"/>
        <v>0</v>
      </c>
      <c r="K158" s="538"/>
      <c r="L158" s="543"/>
      <c r="M158" s="538">
        <f t="shared" si="11"/>
        <v>0</v>
      </c>
      <c r="N158" s="543"/>
      <c r="O158" s="538">
        <f t="shared" si="12"/>
        <v>0</v>
      </c>
      <c r="P158" s="538">
        <f t="shared" si="13"/>
        <v>0</v>
      </c>
      <c r="Q158" s="493"/>
    </row>
    <row r="159" spans="3:17">
      <c r="C159" s="534">
        <f>IF(D96="","-",+C158+1)</f>
        <v>57</v>
      </c>
      <c r="D159" s="491">
        <f t="shared" si="14"/>
        <v>0</v>
      </c>
      <c r="E159" s="541">
        <f t="shared" si="15"/>
        <v>0</v>
      </c>
      <c r="F159" s="541">
        <f t="shared" si="8"/>
        <v>0</v>
      </c>
      <c r="G159" s="491">
        <f t="shared" si="9"/>
        <v>0</v>
      </c>
      <c r="H159" s="535">
        <f>+J97*G159+E159</f>
        <v>0</v>
      </c>
      <c r="I159" s="542">
        <f>+J98*G159+E159</f>
        <v>0</v>
      </c>
      <c r="J159" s="538">
        <f t="shared" si="10"/>
        <v>0</v>
      </c>
      <c r="K159" s="538"/>
      <c r="L159" s="543"/>
      <c r="M159" s="538">
        <f t="shared" si="11"/>
        <v>0</v>
      </c>
      <c r="N159" s="543"/>
      <c r="O159" s="538">
        <f t="shared" si="12"/>
        <v>0</v>
      </c>
      <c r="P159" s="538">
        <f t="shared" si="13"/>
        <v>0</v>
      </c>
      <c r="Q159" s="493"/>
    </row>
    <row r="160" spans="3:17">
      <c r="C160" s="534">
        <f>IF(D96="","-",+C159+1)</f>
        <v>58</v>
      </c>
      <c r="D160" s="491">
        <f t="shared" si="14"/>
        <v>0</v>
      </c>
      <c r="E160" s="541">
        <f t="shared" si="15"/>
        <v>0</v>
      </c>
      <c r="F160" s="541">
        <f t="shared" si="8"/>
        <v>0</v>
      </c>
      <c r="G160" s="491">
        <f t="shared" si="9"/>
        <v>0</v>
      </c>
      <c r="H160" s="535">
        <f>+J97*G160+E160</f>
        <v>0</v>
      </c>
      <c r="I160" s="542">
        <f>+J98*G160+E160</f>
        <v>0</v>
      </c>
      <c r="J160" s="538">
        <f t="shared" si="10"/>
        <v>0</v>
      </c>
      <c r="K160" s="538"/>
      <c r="L160" s="543"/>
      <c r="M160" s="538">
        <f t="shared" si="11"/>
        <v>0</v>
      </c>
      <c r="N160" s="543"/>
      <c r="O160" s="538">
        <f t="shared" si="12"/>
        <v>0</v>
      </c>
      <c r="P160" s="538">
        <f t="shared" si="13"/>
        <v>0</v>
      </c>
      <c r="Q160" s="493"/>
    </row>
    <row r="161" spans="3:17" ht="13.5" thickBot="1">
      <c r="C161" s="546">
        <f>IF(D96="","-",+C160+1)</f>
        <v>59</v>
      </c>
      <c r="D161" s="547">
        <f t="shared" si="14"/>
        <v>0</v>
      </c>
      <c r="E161" s="548">
        <f t="shared" si="15"/>
        <v>0</v>
      </c>
      <c r="F161" s="548">
        <f t="shared" si="8"/>
        <v>0</v>
      </c>
      <c r="G161" s="547">
        <f t="shared" si="9"/>
        <v>0</v>
      </c>
      <c r="H161" s="549">
        <f>+J97*G161+E161</f>
        <v>0</v>
      </c>
      <c r="I161" s="549">
        <f>+J98*G161+E161</f>
        <v>0</v>
      </c>
      <c r="J161" s="550">
        <f t="shared" si="10"/>
        <v>0</v>
      </c>
      <c r="K161" s="538"/>
      <c r="L161" s="551"/>
      <c r="M161" s="550">
        <f t="shared" si="11"/>
        <v>0</v>
      </c>
      <c r="N161" s="551"/>
      <c r="O161" s="550">
        <f t="shared" si="12"/>
        <v>0</v>
      </c>
      <c r="P161" s="550">
        <f t="shared" si="13"/>
        <v>0</v>
      </c>
      <c r="Q161" s="493"/>
    </row>
    <row r="162" spans="3:17">
      <c r="C162" s="491" t="s">
        <v>290</v>
      </c>
      <c r="D162" s="489"/>
      <c r="E162" s="489">
        <f>SUM(E102:E161)</f>
        <v>0</v>
      </c>
      <c r="F162" s="489"/>
      <c r="G162" s="489"/>
      <c r="H162" s="489">
        <f>SUM(H102:H161)</f>
        <v>0</v>
      </c>
      <c r="I162" s="489">
        <f>SUM(I102:I161)</f>
        <v>0</v>
      </c>
      <c r="J162" s="489">
        <f>SUM(J102:J161)</f>
        <v>0</v>
      </c>
      <c r="K162" s="489"/>
      <c r="L162" s="489"/>
      <c r="M162" s="489"/>
      <c r="N162" s="489"/>
      <c r="O162" s="489"/>
      <c r="Q162" s="489"/>
    </row>
    <row r="163" spans="3:17">
      <c r="D163" s="81"/>
      <c r="E163" s="4"/>
      <c r="F163" s="4"/>
      <c r="G163" s="4"/>
      <c r="H163" s="4"/>
      <c r="I163" s="474"/>
      <c r="J163" s="474"/>
      <c r="K163" s="489"/>
      <c r="L163" s="474"/>
      <c r="M163" s="474"/>
      <c r="N163" s="474"/>
      <c r="O163" s="474"/>
      <c r="Q163" s="489"/>
    </row>
    <row r="164" spans="3:17">
      <c r="C164" s="4" t="s">
        <v>603</v>
      </c>
      <c r="D164" s="81"/>
      <c r="E164" s="4"/>
      <c r="F164" s="4"/>
      <c r="G164" s="4"/>
      <c r="H164" s="4"/>
      <c r="I164" s="474"/>
      <c r="J164" s="474"/>
      <c r="K164" s="489"/>
      <c r="L164" s="474"/>
      <c r="M164" s="474"/>
      <c r="N164" s="474"/>
      <c r="O164" s="474"/>
      <c r="Q164" s="489"/>
    </row>
    <row r="165" spans="3:17">
      <c r="D165" s="81"/>
      <c r="E165" s="4"/>
      <c r="F165" s="4"/>
      <c r="G165" s="4"/>
      <c r="H165" s="4"/>
      <c r="I165" s="474"/>
      <c r="J165" s="474"/>
      <c r="K165" s="489"/>
      <c r="L165" s="474"/>
      <c r="M165" s="474"/>
      <c r="N165" s="474"/>
      <c r="O165" s="474"/>
      <c r="Q165" s="489"/>
    </row>
    <row r="166" spans="3:17">
      <c r="C166" s="4" t="s">
        <v>604</v>
      </c>
      <c r="D166" s="491"/>
      <c r="E166" s="491"/>
      <c r="F166" s="491"/>
      <c r="G166" s="491"/>
      <c r="H166" s="489"/>
      <c r="I166" s="489"/>
      <c r="J166" s="493"/>
      <c r="K166" s="493"/>
      <c r="L166" s="493"/>
      <c r="M166" s="493"/>
      <c r="N166" s="493"/>
      <c r="O166" s="493"/>
      <c r="Q166" s="493"/>
    </row>
    <row r="167" spans="3:17">
      <c r="C167" s="4" t="s">
        <v>478</v>
      </c>
      <c r="D167" s="491"/>
      <c r="E167" s="491"/>
      <c r="F167" s="491"/>
      <c r="G167" s="491"/>
      <c r="H167" s="489"/>
      <c r="I167" s="489"/>
      <c r="J167" s="493"/>
      <c r="K167" s="493"/>
      <c r="L167" s="493"/>
      <c r="M167" s="493"/>
      <c r="N167" s="493"/>
      <c r="O167" s="493"/>
      <c r="Q167" s="493"/>
    </row>
    <row r="168" spans="3:17">
      <c r="C168" s="4" t="s">
        <v>291</v>
      </c>
      <c r="D168" s="491"/>
      <c r="E168" s="491"/>
      <c r="F168" s="491"/>
      <c r="G168" s="491"/>
      <c r="H168" s="489"/>
      <c r="I168" s="489"/>
      <c r="J168" s="493"/>
      <c r="K168" s="493"/>
      <c r="L168" s="493"/>
      <c r="M168" s="493"/>
      <c r="N168" s="493"/>
      <c r="O168" s="493"/>
      <c r="Q168" s="493"/>
    </row>
    <row r="169" spans="3:17">
      <c r="Q169"/>
    </row>
  </sheetData>
  <mergeCells count="9">
    <mergeCell ref="C60:D61"/>
    <mergeCell ref="C71:D72"/>
    <mergeCell ref="L95:O95"/>
    <mergeCell ref="A3:P3"/>
    <mergeCell ref="C11:I12"/>
    <mergeCell ref="A4:P4"/>
    <mergeCell ref="A5:P5"/>
    <mergeCell ref="A6:P6"/>
    <mergeCell ref="C51:D52"/>
  </mergeCells>
  <phoneticPr fontId="0" type="noConversion"/>
  <conditionalFormatting sqref="C102:C161">
    <cfRule type="cellIs" dxfId="17" priority="11" stopIfTrue="1" operator="equal">
      <formula>$J$92</formula>
    </cfRule>
  </conditionalFormatting>
  <pageMargins left="0.26" right="1.28" top="1" bottom="0.48" header="0.75" footer="0.5"/>
  <pageSetup scale="43" fitToHeight="2" orientation="landscape" r:id="rId1"/>
  <headerFooter alignWithMargins="0">
    <oddHeader>&amp;R&amp;"Arial,Bold"Formula Rate 
&amp;A
Page &amp;P of &amp;N</oddHeader>
  </headerFooter>
  <rowBreaks count="1" manualBreakCount="1">
    <brk id="81" max="1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AA47"/>
  <sheetViews>
    <sheetView tabSelected="1" view="pageBreakPreview" zoomScaleNormal="100" zoomScaleSheetLayoutView="100" workbookViewId="0">
      <selection activeCell="D9" sqref="D9"/>
    </sheetView>
  </sheetViews>
  <sheetFormatPr defaultColWidth="9.140625" defaultRowHeight="12.75"/>
  <cols>
    <col min="1" max="1" width="9.140625" style="17"/>
    <col min="2" max="2" width="37.5703125" style="19" customWidth="1"/>
    <col min="3" max="3" width="31.5703125" style="6" customWidth="1"/>
    <col min="4" max="4" width="14.85546875" style="6" customWidth="1"/>
    <col min="5" max="5" width="18" style="6" customWidth="1"/>
    <col min="6" max="7" width="11.140625" style="6" bestFit="1" customWidth="1"/>
    <col min="8" max="8" width="11.140625" style="216" bestFit="1" customWidth="1"/>
    <col min="9" max="16384" width="9.140625" style="6"/>
  </cols>
  <sheetData>
    <row r="1" spans="1:27" ht="15.75">
      <c r="A1" s="693" t="s">
        <v>116</v>
      </c>
    </row>
    <row r="2" spans="1:27" ht="15.75">
      <c r="A2" s="693" t="s">
        <v>116</v>
      </c>
    </row>
    <row r="3" spans="1:27" ht="15">
      <c r="B3" s="1210" t="s">
        <v>389</v>
      </c>
      <c r="C3" s="1210"/>
      <c r="D3" s="1210"/>
      <c r="E3" s="1210"/>
      <c r="F3" s="1210"/>
      <c r="G3" s="30"/>
      <c r="H3" s="212"/>
      <c r="I3" s="30"/>
      <c r="J3" s="30"/>
      <c r="K3" s="30"/>
      <c r="L3" s="30"/>
      <c r="M3" s="30"/>
      <c r="N3" s="30"/>
      <c r="O3" s="30"/>
      <c r="P3" s="30"/>
    </row>
    <row r="4" spans="1:27" ht="15">
      <c r="B4" s="1211" t="str">
        <f>"Cost of Service Formula Rate Using "&amp;TCOS!L4&amp;" FF1 Balances"</f>
        <v>Cost of Service Formula Rate Using 2025 FF1 Balances</v>
      </c>
      <c r="C4" s="1211"/>
      <c r="D4" s="1211"/>
      <c r="E4" s="1211"/>
      <c r="F4" s="1211"/>
      <c r="G4" s="77"/>
      <c r="H4" s="213"/>
      <c r="I4" s="77"/>
      <c r="J4" s="77"/>
      <c r="K4" s="77"/>
      <c r="L4" s="77"/>
      <c r="M4" s="77"/>
      <c r="N4" s="77"/>
      <c r="O4" s="77"/>
      <c r="P4" s="77"/>
    </row>
    <row r="5" spans="1:27" ht="18">
      <c r="B5" s="1210" t="s">
        <v>549</v>
      </c>
      <c r="C5" s="1210"/>
      <c r="D5" s="1210"/>
      <c r="E5" s="1210"/>
      <c r="F5" s="1210"/>
      <c r="G5" s="125"/>
      <c r="H5" s="214"/>
      <c r="I5" s="125"/>
      <c r="J5" s="125"/>
      <c r="K5" s="125"/>
    </row>
    <row r="6" spans="1:27" ht="18">
      <c r="B6" s="1219" t="str">
        <f>+TCOS!F9</f>
        <v>KENTUCKY POWER COMPANY</v>
      </c>
      <c r="C6" s="1210"/>
      <c r="D6" s="1210"/>
      <c r="E6" s="1210"/>
      <c r="F6" s="1210"/>
      <c r="G6" s="132"/>
      <c r="H6" s="215"/>
      <c r="I6" s="132"/>
      <c r="J6" s="132"/>
      <c r="K6" s="132"/>
    </row>
    <row r="8" spans="1:27" ht="18.75" customHeight="1">
      <c r="B8" s="13"/>
      <c r="C8" s="116"/>
      <c r="D8" s="117"/>
    </row>
    <row r="10" spans="1:27" ht="18">
      <c r="B10" s="5"/>
      <c r="C10" s="5"/>
      <c r="D10" s="5"/>
      <c r="E10" s="5"/>
      <c r="F10" s="5"/>
      <c r="R10" s="124"/>
      <c r="S10" s="124"/>
      <c r="T10" s="124"/>
      <c r="U10" s="124"/>
      <c r="V10" s="124"/>
      <c r="W10" s="124"/>
      <c r="X10" s="124"/>
      <c r="Y10" s="124"/>
      <c r="Z10" s="124"/>
      <c r="AA10" s="124"/>
    </row>
    <row r="11" spans="1:27">
      <c r="A11" s="679"/>
      <c r="B11" s="115"/>
      <c r="C11" s="117"/>
    </row>
    <row r="12" spans="1:27">
      <c r="A12" s="196"/>
      <c r="B12" s="9"/>
      <c r="C12" s="9"/>
      <c r="D12" s="9"/>
      <c r="E12" s="9"/>
      <c r="F12" s="9"/>
      <c r="G12" s="8"/>
    </row>
    <row r="13" spans="1:27">
      <c r="A13" s="197"/>
      <c r="B13" s="9"/>
      <c r="C13" s="9"/>
      <c r="D13" s="9"/>
      <c r="E13" s="9"/>
      <c r="F13" s="9"/>
      <c r="G13" s="8"/>
    </row>
    <row r="14" spans="1:27">
      <c r="A14" s="223"/>
      <c r="B14" s="9"/>
      <c r="C14" s="9"/>
      <c r="D14" s="9"/>
      <c r="E14" s="9"/>
      <c r="F14" s="9"/>
      <c r="H14" s="6"/>
    </row>
    <row r="15" spans="1:27">
      <c r="A15" s="223"/>
      <c r="B15" s="9"/>
      <c r="C15" s="9"/>
      <c r="D15" s="9"/>
      <c r="E15" s="9"/>
      <c r="F15" s="9"/>
      <c r="H15" s="6"/>
    </row>
    <row r="16" spans="1:27">
      <c r="A16" s="223"/>
      <c r="B16" s="9"/>
      <c r="C16" s="9"/>
      <c r="D16" s="9"/>
      <c r="E16" s="9"/>
      <c r="F16" s="9"/>
      <c r="H16" s="6"/>
    </row>
    <row r="17" spans="1:8" ht="12.75" customHeight="1">
      <c r="A17" s="223"/>
      <c r="B17" s="9"/>
      <c r="C17" s="9"/>
      <c r="D17" s="9"/>
      <c r="E17" s="9"/>
      <c r="F17" s="9"/>
      <c r="H17" s="6"/>
    </row>
    <row r="18" spans="1:8">
      <c r="A18" s="223"/>
      <c r="B18" s="9"/>
      <c r="C18" s="9"/>
      <c r="D18" s="9"/>
      <c r="E18" s="9"/>
      <c r="F18" s="9"/>
      <c r="H18" s="6"/>
    </row>
    <row r="19" spans="1:8">
      <c r="A19" s="223"/>
      <c r="B19" s="9"/>
      <c r="C19" s="9"/>
      <c r="D19" s="9"/>
      <c r="E19" s="9"/>
      <c r="F19" s="9"/>
      <c r="H19" s="6"/>
    </row>
    <row r="20" spans="1:8">
      <c r="A20" s="223"/>
      <c r="B20" s="9"/>
      <c r="C20" s="9"/>
      <c r="D20" s="9"/>
      <c r="E20" s="9"/>
      <c r="F20" s="9"/>
      <c r="H20" s="6"/>
    </row>
    <row r="21" spans="1:8">
      <c r="A21" s="223"/>
      <c r="B21" s="9"/>
      <c r="C21" s="9"/>
      <c r="D21" s="9"/>
      <c r="E21" s="9"/>
      <c r="F21" s="9"/>
      <c r="H21" s="6"/>
    </row>
    <row r="22" spans="1:8">
      <c r="A22" s="223"/>
      <c r="B22" s="9"/>
      <c r="C22" s="9"/>
      <c r="D22" s="9"/>
      <c r="E22" s="9"/>
      <c r="F22" s="9"/>
      <c r="H22" s="6"/>
    </row>
    <row r="23" spans="1:8" ht="12.75" customHeight="1">
      <c r="A23" s="223"/>
      <c r="B23" s="9"/>
      <c r="C23" s="9"/>
      <c r="D23" s="9"/>
      <c r="E23" s="9"/>
      <c r="F23" s="9"/>
      <c r="H23" s="6"/>
    </row>
    <row r="24" spans="1:8" ht="12.75" customHeight="1">
      <c r="A24" s="223"/>
      <c r="B24" s="9"/>
      <c r="C24" s="9"/>
      <c r="D24" s="9"/>
      <c r="E24" s="9"/>
      <c r="F24" s="9"/>
      <c r="H24" s="6"/>
    </row>
    <row r="25" spans="1:8" ht="12.75" customHeight="1">
      <c r="A25" s="223"/>
      <c r="B25" s="9"/>
      <c r="C25" s="9"/>
      <c r="D25" s="9"/>
      <c r="E25" s="9"/>
      <c r="F25" s="9"/>
      <c r="H25" s="6"/>
    </row>
    <row r="26" spans="1:8" ht="12.75" customHeight="1">
      <c r="A26" s="223"/>
      <c r="B26" s="9"/>
      <c r="C26" s="9"/>
      <c r="D26" s="9"/>
      <c r="E26" s="9"/>
      <c r="F26" s="9"/>
      <c r="H26" s="6"/>
    </row>
    <row r="27" spans="1:8" ht="12.75" customHeight="1">
      <c r="A27" s="223"/>
      <c r="B27" s="9"/>
      <c r="C27" s="9"/>
      <c r="D27" s="9"/>
      <c r="E27" s="9"/>
      <c r="F27" s="9"/>
      <c r="H27" s="6"/>
    </row>
    <row r="28" spans="1:8" ht="12.75" customHeight="1">
      <c r="A28" s="223"/>
      <c r="B28" s="9"/>
      <c r="C28" s="9"/>
      <c r="D28" s="9"/>
      <c r="E28" s="9"/>
      <c r="F28" s="9"/>
      <c r="H28" s="6"/>
    </row>
    <row r="29" spans="1:8" ht="12.75" customHeight="1">
      <c r="A29" s="223"/>
      <c r="B29" s="9"/>
      <c r="C29" s="9"/>
      <c r="D29" s="9"/>
      <c r="E29" s="9"/>
      <c r="F29" s="9"/>
      <c r="H29" s="6"/>
    </row>
    <row r="30" spans="1:8" ht="12.75" customHeight="1">
      <c r="A30" s="223"/>
      <c r="B30" s="9"/>
      <c r="C30" s="9"/>
      <c r="D30" s="9"/>
      <c r="E30" s="9"/>
      <c r="F30" s="9"/>
      <c r="H30" s="6"/>
    </row>
    <row r="31" spans="1:8" ht="12.75" customHeight="1">
      <c r="A31" s="223"/>
      <c r="B31" s="9"/>
      <c r="C31" s="9"/>
      <c r="D31" s="9"/>
      <c r="E31" s="9"/>
      <c r="F31" s="9"/>
      <c r="H31" s="6"/>
    </row>
    <row r="32" spans="1:8" ht="12.75" customHeight="1">
      <c r="A32" s="223"/>
      <c r="B32" s="9"/>
      <c r="C32" s="9"/>
      <c r="D32" s="9"/>
      <c r="E32" s="9"/>
      <c r="F32" s="9"/>
      <c r="H32" s="6"/>
    </row>
    <row r="33" spans="1:8" ht="12.75" customHeight="1">
      <c r="A33" s="223"/>
      <c r="B33" s="9"/>
      <c r="C33" s="9"/>
      <c r="D33" s="9"/>
      <c r="E33" s="9"/>
      <c r="F33" s="9"/>
      <c r="H33" s="6"/>
    </row>
    <row r="34" spans="1:8" ht="12.75" customHeight="1">
      <c r="A34" s="223"/>
      <c r="B34" s="9"/>
      <c r="C34" s="9"/>
      <c r="D34" s="9"/>
      <c r="E34" s="9"/>
      <c r="F34" s="9"/>
      <c r="H34" s="6"/>
    </row>
    <row r="35" spans="1:8" ht="12.75" customHeight="1">
      <c r="A35" s="223"/>
      <c r="B35" s="9"/>
      <c r="C35" s="9"/>
      <c r="D35" s="9"/>
      <c r="E35" s="9"/>
      <c r="F35" s="9"/>
      <c r="H35" s="6"/>
    </row>
    <row r="36" spans="1:8" ht="12.75" customHeight="1">
      <c r="A36" s="223"/>
      <c r="B36" s="9"/>
      <c r="C36" s="9"/>
      <c r="D36" s="9"/>
      <c r="E36" s="9"/>
      <c r="F36" s="9"/>
      <c r="H36" s="6"/>
    </row>
    <row r="37" spans="1:8" ht="12.75" customHeight="1">
      <c r="A37" s="223"/>
      <c r="B37" s="9"/>
      <c r="C37" s="9"/>
      <c r="D37" s="9"/>
      <c r="E37" s="9"/>
      <c r="F37" s="9"/>
      <c r="H37" s="6"/>
    </row>
    <row r="38" spans="1:8" ht="12.75" customHeight="1">
      <c r="A38" s="223"/>
      <c r="B38" s="9"/>
      <c r="C38" s="9"/>
      <c r="D38" s="9"/>
      <c r="E38" s="9"/>
      <c r="F38" s="9"/>
      <c r="H38" s="6"/>
    </row>
    <row r="39" spans="1:8" ht="12.75" customHeight="1">
      <c r="A39" s="223"/>
      <c r="B39" s="9"/>
      <c r="C39" s="9"/>
      <c r="D39" s="9"/>
      <c r="E39" s="9"/>
      <c r="F39" s="9"/>
      <c r="H39" s="6"/>
    </row>
    <row r="40" spans="1:8" ht="12.75" customHeight="1">
      <c r="A40" s="223"/>
      <c r="B40" s="9"/>
      <c r="C40" s="9"/>
      <c r="D40" s="9"/>
      <c r="E40" s="9"/>
      <c r="F40" s="9"/>
      <c r="H40" s="6"/>
    </row>
    <row r="41" spans="1:8" ht="12.75" customHeight="1">
      <c r="A41" s="223"/>
      <c r="B41" s="9"/>
      <c r="C41" s="9"/>
      <c r="D41" s="9"/>
      <c r="E41" s="9"/>
      <c r="F41" s="9"/>
      <c r="H41" s="6"/>
    </row>
    <row r="42" spans="1:8" ht="12.75" customHeight="1">
      <c r="A42" s="223"/>
      <c r="B42" s="9"/>
      <c r="C42" s="9"/>
      <c r="D42" s="9"/>
      <c r="E42" s="9"/>
      <c r="F42" s="9"/>
      <c r="H42" s="6"/>
    </row>
    <row r="43" spans="1:8" ht="12.6" customHeight="1">
      <c r="A43" s="223"/>
      <c r="B43" s="9"/>
      <c r="C43" s="9"/>
      <c r="D43" s="9"/>
      <c r="E43" s="9"/>
      <c r="F43" s="9"/>
      <c r="H43" s="6"/>
    </row>
    <row r="44" spans="1:8" ht="12.75" customHeight="1">
      <c r="A44" s="223"/>
      <c r="B44" s="9"/>
      <c r="C44" s="9"/>
      <c r="D44" s="9"/>
      <c r="E44" s="9"/>
      <c r="F44" s="9"/>
      <c r="H44" s="6"/>
    </row>
    <row r="45" spans="1:8">
      <c r="B45" s="9"/>
      <c r="C45" s="9"/>
      <c r="D45" s="9"/>
      <c r="E45" s="9"/>
      <c r="F45" s="9"/>
      <c r="H45" s="6"/>
    </row>
    <row r="46" spans="1:8">
      <c r="B46" s="9"/>
      <c r="C46" s="9"/>
      <c r="D46" s="9"/>
      <c r="E46" s="9"/>
      <c r="F46" s="9"/>
      <c r="H46" s="6"/>
    </row>
    <row r="47" spans="1:8">
      <c r="B47" s="9"/>
      <c r="C47" s="9"/>
      <c r="D47" s="9"/>
      <c r="E47" s="9"/>
      <c r="F47" s="9"/>
      <c r="H47" s="6"/>
    </row>
  </sheetData>
  <mergeCells count="4">
    <mergeCell ref="B6:F6"/>
    <mergeCell ref="B3:F3"/>
    <mergeCell ref="B4:F4"/>
    <mergeCell ref="B5:F5"/>
  </mergeCells>
  <phoneticPr fontId="0" type="noConversion"/>
  <pageMargins left="0.61" right="0.72" top="1" bottom="1" header="0.75" footer="0.5"/>
  <pageSetup scale="76" orientation="portrait" r:id="rId1"/>
  <headerFooter alignWithMargins="0">
    <oddHeader>&amp;R&amp;"Arial,Bold"Formula Rate 
&amp;A
Page &amp;P of &amp;N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pageSetUpPr fitToPage="1"/>
  </sheetPr>
  <dimension ref="A1:L105"/>
  <sheetViews>
    <sheetView tabSelected="1" view="pageBreakPreview" topLeftCell="A26" zoomScale="85" zoomScaleNormal="90" zoomScaleSheetLayoutView="85" zoomScalePageLayoutView="85" workbookViewId="0">
      <selection activeCell="D9" sqref="D9"/>
    </sheetView>
  </sheetViews>
  <sheetFormatPr defaultColWidth="11.42578125" defaultRowHeight="12.75"/>
  <cols>
    <col min="1" max="1" width="10.42578125" style="750" customWidth="1"/>
    <col min="2" max="2" width="52.42578125" style="14" customWidth="1"/>
    <col min="3" max="7" width="20.42578125" style="14" customWidth="1"/>
    <col min="8" max="8" width="23" style="14" customWidth="1"/>
    <col min="9" max="11" width="20.42578125" style="14" customWidth="1"/>
    <col min="12" max="12" width="20" style="14" customWidth="1"/>
    <col min="13" max="14" width="15.140625" style="14" customWidth="1"/>
    <col min="15" max="16384" width="11.42578125" style="14"/>
  </cols>
  <sheetData>
    <row r="1" spans="1:12" ht="15">
      <c r="A1" s="1210" t="s">
        <v>389</v>
      </c>
      <c r="B1" s="1210"/>
      <c r="C1" s="1210"/>
      <c r="D1" s="1210"/>
      <c r="E1" s="1210"/>
      <c r="F1" s="1210"/>
      <c r="G1" s="1210"/>
      <c r="H1" s="81"/>
    </row>
    <row r="2" spans="1:12" ht="15">
      <c r="A2" s="1211" t="str">
        <f>"Cost of Service Formula Rate Using Actual/Projected FF1 Balances"</f>
        <v>Cost of Service Formula Rate Using Actual/Projected FF1 Balances</v>
      </c>
      <c r="B2" s="1211"/>
      <c r="C2" s="1211"/>
      <c r="D2" s="1211"/>
      <c r="E2" s="1211"/>
      <c r="F2" s="1211"/>
      <c r="G2" s="1211"/>
      <c r="H2" s="732"/>
      <c r="I2" s="732"/>
      <c r="J2" s="732"/>
      <c r="L2" s="733"/>
    </row>
    <row r="3" spans="1:12" ht="15">
      <c r="A3" s="1211" t="s">
        <v>676</v>
      </c>
      <c r="B3" s="1211"/>
      <c r="C3" s="1211"/>
      <c r="D3" s="1211"/>
      <c r="E3" s="1211"/>
      <c r="F3" s="1211"/>
      <c r="G3" s="1211"/>
      <c r="H3" s="732"/>
      <c r="I3" s="732"/>
      <c r="J3" s="732"/>
    </row>
    <row r="4" spans="1:12" ht="15">
      <c r="A4" s="1212" t="str">
        <f>TCOS!F9</f>
        <v>KENTUCKY POWER COMPANY</v>
      </c>
      <c r="B4" s="1212"/>
      <c r="C4" s="1212"/>
      <c r="D4" s="1212"/>
      <c r="E4" s="1212"/>
      <c r="F4" s="1212"/>
      <c r="G4" s="1212"/>
      <c r="H4" s="732"/>
      <c r="I4" s="732"/>
      <c r="J4" s="732"/>
    </row>
    <row r="5" spans="1:12">
      <c r="A5" s="732"/>
      <c r="B5" s="734"/>
      <c r="C5" s="734"/>
      <c r="D5" s="734"/>
      <c r="E5" s="735"/>
      <c r="F5" s="736"/>
      <c r="H5"/>
      <c r="I5"/>
      <c r="J5"/>
      <c r="K5"/>
      <c r="L5"/>
    </row>
    <row r="6" spans="1:12" ht="12.75" customHeight="1">
      <c r="A6" s="81"/>
      <c r="B6" s="722"/>
      <c r="C6" s="1265" t="s">
        <v>6</v>
      </c>
      <c r="D6" s="1266"/>
      <c r="E6" s="1266"/>
      <c r="F6" s="1266"/>
      <c r="G6" s="1267"/>
      <c r="H6" s="4"/>
      <c r="I6"/>
      <c r="J6"/>
      <c r="K6"/>
      <c r="L6"/>
    </row>
    <row r="7" spans="1:12" s="738" customFormat="1" ht="38.25">
      <c r="A7" s="721" t="s">
        <v>650</v>
      </c>
      <c r="B7" s="720" t="s">
        <v>649</v>
      </c>
      <c r="C7" s="709" t="s">
        <v>677</v>
      </c>
      <c r="D7" s="708" t="s">
        <v>370</v>
      </c>
      <c r="E7" s="708" t="s">
        <v>678</v>
      </c>
      <c r="F7" s="708" t="s">
        <v>679</v>
      </c>
      <c r="G7" s="737" t="s">
        <v>6</v>
      </c>
      <c r="H7" s="4"/>
      <c r="I7"/>
      <c r="J7"/>
      <c r="K7"/>
      <c r="L7"/>
    </row>
    <row r="8" spans="1:12" s="740" customFormat="1">
      <c r="A8" s="702"/>
      <c r="B8" s="705" t="s">
        <v>644</v>
      </c>
      <c r="C8" s="706" t="s">
        <v>643</v>
      </c>
      <c r="D8" s="704" t="s">
        <v>642</v>
      </c>
      <c r="E8" s="704" t="s">
        <v>641</v>
      </c>
      <c r="F8" s="704" t="s">
        <v>640</v>
      </c>
      <c r="G8" s="739" t="s">
        <v>680</v>
      </c>
      <c r="H8" s="4"/>
      <c r="I8"/>
      <c r="J8"/>
      <c r="K8"/>
      <c r="L8"/>
    </row>
    <row r="9" spans="1:12" s="740" customFormat="1" ht="44.25" customHeight="1">
      <c r="A9" s="702"/>
      <c r="B9" s="705" t="s">
        <v>639</v>
      </c>
      <c r="C9" s="741" t="s">
        <v>681</v>
      </c>
      <c r="D9" s="719" t="s">
        <v>682</v>
      </c>
      <c r="E9" s="719" t="s">
        <v>683</v>
      </c>
      <c r="F9" s="719" t="s">
        <v>684</v>
      </c>
      <c r="G9" s="742"/>
      <c r="H9" s="4"/>
      <c r="I9"/>
      <c r="J9"/>
      <c r="K9"/>
      <c r="L9"/>
    </row>
    <row r="10" spans="1:12">
      <c r="A10" s="702">
        <v>1</v>
      </c>
      <c r="B10" s="718" t="s">
        <v>637</v>
      </c>
      <c r="C10" s="959">
        <v>990915476.27400017</v>
      </c>
      <c r="D10" s="959"/>
      <c r="E10" s="959"/>
      <c r="F10" s="959"/>
      <c r="G10" s="743">
        <f t="shared" ref="G10:G22" si="0">+C10-D10-E10-F10</f>
        <v>990915476.27400017</v>
      </c>
      <c r="H10" s="4"/>
      <c r="I10"/>
      <c r="J10"/>
      <c r="K10"/>
      <c r="L10"/>
    </row>
    <row r="11" spans="1:12">
      <c r="A11" s="702">
        <f t="shared" ref="A11:A23" si="1">+A10+1</f>
        <v>2</v>
      </c>
      <c r="B11" s="718" t="s">
        <v>187</v>
      </c>
      <c r="C11" s="959">
        <v>998494131.23399997</v>
      </c>
      <c r="D11" s="959"/>
      <c r="E11" s="959"/>
      <c r="F11" s="959"/>
      <c r="G11" s="743">
        <f t="shared" si="0"/>
        <v>998494131.23399997</v>
      </c>
      <c r="H11" s="4"/>
      <c r="I11"/>
      <c r="J11"/>
      <c r="K11"/>
      <c r="L11"/>
    </row>
    <row r="12" spans="1:12">
      <c r="A12" s="702">
        <f t="shared" si="1"/>
        <v>3</v>
      </c>
      <c r="B12" s="717" t="s">
        <v>561</v>
      </c>
      <c r="C12" s="959">
        <v>990632491.08699977</v>
      </c>
      <c r="D12" s="959"/>
      <c r="E12" s="959"/>
      <c r="F12" s="959"/>
      <c r="G12" s="743">
        <f t="shared" si="0"/>
        <v>990632491.08699977</v>
      </c>
      <c r="H12" s="4"/>
      <c r="I12"/>
      <c r="J12"/>
      <c r="K12"/>
      <c r="L12"/>
    </row>
    <row r="13" spans="1:12">
      <c r="A13" s="702">
        <f t="shared" si="1"/>
        <v>4</v>
      </c>
      <c r="B13" s="717" t="s">
        <v>636</v>
      </c>
      <c r="C13" s="959">
        <v>1002286920.8810003</v>
      </c>
      <c r="D13" s="959"/>
      <c r="E13" s="959"/>
      <c r="F13" s="959"/>
      <c r="G13" s="743">
        <f t="shared" si="0"/>
        <v>1002286920.8810003</v>
      </c>
      <c r="H13" s="4"/>
      <c r="I13"/>
      <c r="J13"/>
      <c r="K13"/>
      <c r="L13"/>
    </row>
    <row r="14" spans="1:12">
      <c r="A14" s="702">
        <f t="shared" si="1"/>
        <v>5</v>
      </c>
      <c r="B14" s="717" t="s">
        <v>189</v>
      </c>
      <c r="C14" s="959">
        <v>1000523241.3239996</v>
      </c>
      <c r="D14" s="959"/>
      <c r="E14" s="959"/>
      <c r="F14" s="959"/>
      <c r="G14" s="743">
        <f t="shared" si="0"/>
        <v>1000523241.3239996</v>
      </c>
      <c r="H14" s="4"/>
      <c r="I14"/>
      <c r="J14"/>
      <c r="K14"/>
      <c r="L14"/>
    </row>
    <row r="15" spans="1:12">
      <c r="A15" s="702">
        <f t="shared" si="1"/>
        <v>6</v>
      </c>
      <c r="B15" s="717" t="s">
        <v>190</v>
      </c>
      <c r="C15" s="959">
        <v>995158147.14000034</v>
      </c>
      <c r="D15" s="959"/>
      <c r="E15" s="959"/>
      <c r="F15" s="959"/>
      <c r="G15" s="743">
        <f t="shared" si="0"/>
        <v>995158147.14000034</v>
      </c>
      <c r="H15" s="4"/>
      <c r="I15"/>
      <c r="J15"/>
      <c r="K15"/>
      <c r="L15"/>
    </row>
    <row r="16" spans="1:12">
      <c r="A16" s="702">
        <f t="shared" si="1"/>
        <v>7</v>
      </c>
      <c r="B16" s="717" t="s">
        <v>384</v>
      </c>
      <c r="C16" s="959">
        <v>1008684428.355</v>
      </c>
      <c r="D16" s="959"/>
      <c r="E16" s="959"/>
      <c r="F16" s="959"/>
      <c r="G16" s="743">
        <f t="shared" si="0"/>
        <v>1008684428.355</v>
      </c>
      <c r="H16" s="4"/>
      <c r="I16"/>
      <c r="J16"/>
      <c r="K16"/>
      <c r="L16"/>
    </row>
    <row r="17" spans="1:12">
      <c r="A17" s="702">
        <f t="shared" si="1"/>
        <v>8</v>
      </c>
      <c r="B17" s="717" t="s">
        <v>191</v>
      </c>
      <c r="C17" s="959">
        <v>1012903279.7170002</v>
      </c>
      <c r="D17" s="959"/>
      <c r="E17" s="959"/>
      <c r="F17" s="959"/>
      <c r="G17" s="743">
        <f t="shared" si="0"/>
        <v>1012903279.7170002</v>
      </c>
      <c r="H17" s="4"/>
      <c r="I17"/>
      <c r="J17"/>
      <c r="K17"/>
      <c r="L17"/>
    </row>
    <row r="18" spans="1:12">
      <c r="A18" s="702">
        <f t="shared" si="1"/>
        <v>9</v>
      </c>
      <c r="B18" s="717" t="s">
        <v>635</v>
      </c>
      <c r="C18" s="959">
        <v>1015943534.033</v>
      </c>
      <c r="D18" s="959"/>
      <c r="E18" s="959"/>
      <c r="F18" s="959"/>
      <c r="G18" s="743">
        <f t="shared" si="0"/>
        <v>1015943534.033</v>
      </c>
      <c r="H18" s="4"/>
      <c r="I18"/>
      <c r="J18"/>
      <c r="K18"/>
      <c r="L18"/>
    </row>
    <row r="19" spans="1:12">
      <c r="A19" s="702">
        <f t="shared" si="1"/>
        <v>10</v>
      </c>
      <c r="B19" s="717" t="s">
        <v>194</v>
      </c>
      <c r="C19" s="959">
        <v>1025077653.7649992</v>
      </c>
      <c r="D19" s="959"/>
      <c r="E19" s="959"/>
      <c r="F19" s="959"/>
      <c r="G19" s="743">
        <f t="shared" si="0"/>
        <v>1025077653.7649992</v>
      </c>
      <c r="H19" s="4"/>
      <c r="I19"/>
      <c r="J19"/>
      <c r="K19"/>
      <c r="L19"/>
    </row>
    <row r="20" spans="1:12">
      <c r="A20" s="702">
        <f t="shared" si="1"/>
        <v>11</v>
      </c>
      <c r="B20" s="717" t="s">
        <v>562</v>
      </c>
      <c r="C20" s="959">
        <v>1028556044.4359995</v>
      </c>
      <c r="D20" s="959"/>
      <c r="E20" s="959"/>
      <c r="F20" s="959"/>
      <c r="G20" s="743">
        <f t="shared" si="0"/>
        <v>1028556044.4359995</v>
      </c>
      <c r="H20" s="4"/>
      <c r="I20"/>
      <c r="J20"/>
      <c r="K20"/>
      <c r="L20"/>
    </row>
    <row r="21" spans="1:12">
      <c r="A21" s="702">
        <f t="shared" si="1"/>
        <v>12</v>
      </c>
      <c r="B21" s="717" t="s">
        <v>563</v>
      </c>
      <c r="C21" s="959">
        <v>1032678387.4089992</v>
      </c>
      <c r="D21" s="959"/>
      <c r="E21" s="959"/>
      <c r="F21" s="959"/>
      <c r="G21" s="743">
        <f t="shared" si="0"/>
        <v>1032678387.4089992</v>
      </c>
      <c r="H21" s="4"/>
      <c r="I21"/>
      <c r="J21"/>
      <c r="K21"/>
      <c r="L21"/>
    </row>
    <row r="22" spans="1:12">
      <c r="A22" s="701">
        <f t="shared" si="1"/>
        <v>13</v>
      </c>
      <c r="B22" s="716" t="s">
        <v>634</v>
      </c>
      <c r="C22" s="959">
        <v>1032761736.6400001</v>
      </c>
      <c r="D22" s="959"/>
      <c r="E22" s="959"/>
      <c r="F22" s="959"/>
      <c r="G22" s="743">
        <f t="shared" si="0"/>
        <v>1032761736.6400001</v>
      </c>
      <c r="H22" s="4"/>
      <c r="I22"/>
      <c r="J22"/>
      <c r="K22"/>
      <c r="L22"/>
    </row>
    <row r="23" spans="1:12" ht="13.5" thickBot="1">
      <c r="A23" s="715">
        <f t="shared" si="1"/>
        <v>14</v>
      </c>
      <c r="B23" s="714" t="s">
        <v>864</v>
      </c>
      <c r="C23" s="1039">
        <f>SUM(C10:C22)/13</f>
        <v>1010355036.3303844</v>
      </c>
      <c r="D23" s="1040">
        <f>SUM(D10:D22)/13</f>
        <v>0</v>
      </c>
      <c r="E23" s="1040">
        <f>SUM(E10:E22)/13</f>
        <v>0</v>
      </c>
      <c r="F23" s="1040">
        <f>SUM(F10:F22)/13</f>
        <v>0</v>
      </c>
      <c r="G23" s="744">
        <f>SUM(G10:G22)/13</f>
        <v>1010355036.3303844</v>
      </c>
      <c r="H23" s="4"/>
      <c r="I23"/>
      <c r="J23"/>
      <c r="K23"/>
      <c r="L23"/>
    </row>
    <row r="24" spans="1:12" ht="13.5" thickTop="1">
      <c r="A24" s="81"/>
      <c r="B24" s="699"/>
      <c r="C24" s="713"/>
      <c r="D24" s="698"/>
      <c r="E24" s="698"/>
      <c r="F24" s="698"/>
      <c r="G24" s="713"/>
      <c r="H24" s="713"/>
      <c r="I24"/>
      <c r="J24"/>
      <c r="K24"/>
      <c r="L24"/>
    </row>
    <row r="25" spans="1:12" ht="12.75" customHeight="1">
      <c r="A25" s="81"/>
      <c r="B25" s="722"/>
      <c r="C25" s="1268" t="s">
        <v>685</v>
      </c>
      <c r="D25" s="1269"/>
      <c r="E25" s="1269"/>
      <c r="F25" s="1269"/>
      <c r="G25" s="1269"/>
      <c r="H25" s="1270"/>
      <c r="I25"/>
      <c r="J25"/>
      <c r="K25"/>
      <c r="L25"/>
    </row>
    <row r="26" spans="1:12" s="738" customFormat="1" ht="38.25">
      <c r="A26" s="721" t="s">
        <v>650</v>
      </c>
      <c r="B26" s="720" t="s">
        <v>649</v>
      </c>
      <c r="C26" s="709" t="s">
        <v>697</v>
      </c>
      <c r="D26" s="708" t="s">
        <v>696</v>
      </c>
      <c r="E26" s="708" t="s">
        <v>695</v>
      </c>
      <c r="F26" s="708" t="s">
        <v>694</v>
      </c>
      <c r="G26" s="708" t="s">
        <v>686</v>
      </c>
      <c r="H26" s="737" t="s">
        <v>630</v>
      </c>
      <c r="I26"/>
      <c r="J26"/>
      <c r="K26"/>
      <c r="L26"/>
    </row>
    <row r="27" spans="1:12" s="740" customFormat="1">
      <c r="A27" s="702"/>
      <c r="B27" s="705" t="s">
        <v>644</v>
      </c>
      <c r="C27" s="706" t="s">
        <v>643</v>
      </c>
      <c r="D27" s="704" t="s">
        <v>642</v>
      </c>
      <c r="E27" s="704" t="s">
        <v>641</v>
      </c>
      <c r="F27" s="704" t="s">
        <v>640</v>
      </c>
      <c r="G27" s="704" t="s">
        <v>662</v>
      </c>
      <c r="H27" s="739" t="s">
        <v>687</v>
      </c>
      <c r="I27"/>
      <c r="J27"/>
      <c r="K27"/>
      <c r="L27"/>
    </row>
    <row r="28" spans="1:12" s="740" customFormat="1" ht="44.25" customHeight="1">
      <c r="A28" s="702"/>
      <c r="B28" s="705" t="s">
        <v>639</v>
      </c>
      <c r="C28" s="741" t="s">
        <v>688</v>
      </c>
      <c r="D28" s="719" t="s">
        <v>689</v>
      </c>
      <c r="E28" s="719" t="s">
        <v>690</v>
      </c>
      <c r="F28" s="719" t="s">
        <v>691</v>
      </c>
      <c r="G28" s="719" t="s">
        <v>692</v>
      </c>
      <c r="H28" s="745"/>
      <c r="I28"/>
      <c r="J28"/>
      <c r="K28"/>
      <c r="L28"/>
    </row>
    <row r="29" spans="1:12">
      <c r="A29" s="702">
        <f>+A23+1</f>
        <v>15</v>
      </c>
      <c r="B29" s="718" t="s">
        <v>637</v>
      </c>
      <c r="C29" s="959"/>
      <c r="D29" s="959"/>
      <c r="E29" s="959">
        <v>0</v>
      </c>
      <c r="F29" s="959">
        <v>1215000000</v>
      </c>
      <c r="G29" s="959"/>
      <c r="H29" s="743">
        <f t="shared" ref="H29:H41" si="2">+C29-D29+E29+F29-G29</f>
        <v>1215000000</v>
      </c>
      <c r="I29"/>
      <c r="J29"/>
      <c r="K29"/>
      <c r="L29"/>
    </row>
    <row r="30" spans="1:12">
      <c r="A30" s="702">
        <f t="shared" ref="A30:A42" si="3">+A29+1</f>
        <v>16</v>
      </c>
      <c r="B30" s="718" t="s">
        <v>187</v>
      </c>
      <c r="C30" s="959"/>
      <c r="D30" s="959"/>
      <c r="E30" s="959">
        <v>0</v>
      </c>
      <c r="F30" s="959">
        <v>1365000000</v>
      </c>
      <c r="G30" s="959"/>
      <c r="H30" s="743">
        <f t="shared" si="2"/>
        <v>1365000000</v>
      </c>
      <c r="I30"/>
      <c r="J30"/>
      <c r="K30"/>
      <c r="L30"/>
    </row>
    <row r="31" spans="1:12">
      <c r="A31" s="702">
        <f t="shared" si="3"/>
        <v>17</v>
      </c>
      <c r="B31" s="717" t="s">
        <v>561</v>
      </c>
      <c r="C31" s="959"/>
      <c r="D31" s="959"/>
      <c r="E31" s="959">
        <v>0</v>
      </c>
      <c r="F31" s="959">
        <v>1365000000</v>
      </c>
      <c r="G31" s="959"/>
      <c r="H31" s="743">
        <f t="shared" si="2"/>
        <v>1365000000</v>
      </c>
      <c r="I31"/>
      <c r="J31"/>
      <c r="K31"/>
      <c r="L31"/>
    </row>
    <row r="32" spans="1:12">
      <c r="A32" s="702">
        <f t="shared" si="3"/>
        <v>18</v>
      </c>
      <c r="B32" s="717" t="s">
        <v>636</v>
      </c>
      <c r="C32" s="959"/>
      <c r="D32" s="959"/>
      <c r="E32" s="959">
        <v>0</v>
      </c>
      <c r="F32" s="959">
        <v>1365000000</v>
      </c>
      <c r="G32" s="959"/>
      <c r="H32" s="743">
        <f t="shared" si="2"/>
        <v>1365000000</v>
      </c>
      <c r="I32"/>
      <c r="J32"/>
      <c r="K32"/>
      <c r="L32"/>
    </row>
    <row r="33" spans="1:12">
      <c r="A33" s="702">
        <f t="shared" si="3"/>
        <v>19</v>
      </c>
      <c r="B33" s="717" t="s">
        <v>189</v>
      </c>
      <c r="C33" s="959"/>
      <c r="D33" s="959"/>
      <c r="E33" s="959">
        <v>0</v>
      </c>
      <c r="F33" s="959">
        <v>1365000000</v>
      </c>
      <c r="G33" s="959"/>
      <c r="H33" s="743">
        <f t="shared" si="2"/>
        <v>1365000000</v>
      </c>
      <c r="I33"/>
      <c r="J33"/>
      <c r="K33"/>
      <c r="L33"/>
    </row>
    <row r="34" spans="1:12">
      <c r="A34" s="702">
        <f t="shared" si="3"/>
        <v>20</v>
      </c>
      <c r="B34" s="717" t="s">
        <v>190</v>
      </c>
      <c r="C34" s="959"/>
      <c r="D34" s="959"/>
      <c r="E34" s="959">
        <v>0</v>
      </c>
      <c r="F34" s="959">
        <v>1365000000</v>
      </c>
      <c r="G34" s="959"/>
      <c r="H34" s="743">
        <f t="shared" si="2"/>
        <v>1365000000</v>
      </c>
      <c r="I34"/>
      <c r="J34"/>
      <c r="K34"/>
      <c r="L34"/>
    </row>
    <row r="35" spans="1:12">
      <c r="A35" s="702">
        <f t="shared" si="3"/>
        <v>21</v>
      </c>
      <c r="B35" s="717" t="s">
        <v>384</v>
      </c>
      <c r="C35" s="959"/>
      <c r="D35" s="959"/>
      <c r="E35" s="959">
        <v>0</v>
      </c>
      <c r="F35" s="959">
        <v>1065000000</v>
      </c>
      <c r="G35" s="959"/>
      <c r="H35" s="743">
        <f t="shared" si="2"/>
        <v>1065000000</v>
      </c>
      <c r="I35"/>
      <c r="J35"/>
      <c r="K35"/>
      <c r="L35"/>
    </row>
    <row r="36" spans="1:12">
      <c r="A36" s="702">
        <f t="shared" si="3"/>
        <v>22</v>
      </c>
      <c r="B36" s="717" t="s">
        <v>191</v>
      </c>
      <c r="C36" s="959"/>
      <c r="D36" s="959"/>
      <c r="E36" s="959">
        <v>0</v>
      </c>
      <c r="F36" s="959">
        <v>1065000000</v>
      </c>
      <c r="G36" s="959"/>
      <c r="H36" s="743">
        <f t="shared" si="2"/>
        <v>1065000000</v>
      </c>
      <c r="I36"/>
      <c r="J36"/>
      <c r="K36"/>
      <c r="L36"/>
    </row>
    <row r="37" spans="1:12">
      <c r="A37" s="702">
        <f t="shared" si="3"/>
        <v>23</v>
      </c>
      <c r="B37" s="717" t="s">
        <v>635</v>
      </c>
      <c r="C37" s="959"/>
      <c r="D37" s="959"/>
      <c r="E37" s="959">
        <v>0</v>
      </c>
      <c r="F37" s="959">
        <v>1065000000</v>
      </c>
      <c r="G37" s="959"/>
      <c r="H37" s="743">
        <f t="shared" si="2"/>
        <v>1065000000</v>
      </c>
      <c r="I37"/>
      <c r="J37"/>
      <c r="K37"/>
      <c r="L37"/>
    </row>
    <row r="38" spans="1:12">
      <c r="A38" s="702">
        <f t="shared" si="3"/>
        <v>24</v>
      </c>
      <c r="B38" s="717" t="s">
        <v>194</v>
      </c>
      <c r="C38" s="959"/>
      <c r="D38" s="959"/>
      <c r="E38" s="959">
        <v>0</v>
      </c>
      <c r="F38" s="959">
        <v>1065000000</v>
      </c>
      <c r="G38" s="959"/>
      <c r="H38" s="743">
        <f t="shared" si="2"/>
        <v>1065000000</v>
      </c>
      <c r="I38"/>
      <c r="J38"/>
      <c r="K38"/>
      <c r="L38"/>
    </row>
    <row r="39" spans="1:12">
      <c r="A39" s="702">
        <f t="shared" si="3"/>
        <v>25</v>
      </c>
      <c r="B39" s="717" t="s">
        <v>562</v>
      </c>
      <c r="C39" s="959"/>
      <c r="D39" s="959"/>
      <c r="E39" s="959">
        <v>0</v>
      </c>
      <c r="F39" s="959">
        <v>1065000000</v>
      </c>
      <c r="G39" s="959"/>
      <c r="H39" s="743">
        <f t="shared" si="2"/>
        <v>1065000000</v>
      </c>
      <c r="I39"/>
      <c r="J39"/>
      <c r="K39"/>
      <c r="L39"/>
    </row>
    <row r="40" spans="1:12">
      <c r="A40" s="702">
        <f t="shared" si="3"/>
        <v>26</v>
      </c>
      <c r="B40" s="717" t="s">
        <v>563</v>
      </c>
      <c r="C40" s="959"/>
      <c r="D40" s="959"/>
      <c r="E40" s="959">
        <v>0</v>
      </c>
      <c r="F40" s="959">
        <v>1065000000</v>
      </c>
      <c r="G40" s="959"/>
      <c r="H40" s="743">
        <f t="shared" si="2"/>
        <v>1065000000</v>
      </c>
      <c r="I40"/>
      <c r="J40"/>
      <c r="K40"/>
      <c r="L40"/>
    </row>
    <row r="41" spans="1:12">
      <c r="A41" s="701">
        <f t="shared" si="3"/>
        <v>27</v>
      </c>
      <c r="B41" s="716" t="s">
        <v>634</v>
      </c>
      <c r="C41" s="959"/>
      <c r="D41" s="959"/>
      <c r="E41" s="959">
        <v>0</v>
      </c>
      <c r="F41" s="959">
        <v>1065000000</v>
      </c>
      <c r="G41" s="959"/>
      <c r="H41" s="743">
        <f t="shared" si="2"/>
        <v>1065000000</v>
      </c>
      <c r="I41"/>
      <c r="J41"/>
      <c r="K41"/>
      <c r="L41"/>
    </row>
    <row r="42" spans="1:12" ht="13.5" thickBot="1">
      <c r="A42" s="715">
        <f t="shared" si="3"/>
        <v>28</v>
      </c>
      <c r="B42" s="714" t="s">
        <v>864</v>
      </c>
      <c r="C42" s="1039">
        <f t="shared" ref="C42:H42" si="4">SUM(C29:C41)/13</f>
        <v>0</v>
      </c>
      <c r="D42" s="1040">
        <f t="shared" si="4"/>
        <v>0</v>
      </c>
      <c r="E42" s="1040">
        <f t="shared" si="4"/>
        <v>0</v>
      </c>
      <c r="F42" s="1040">
        <f t="shared" si="4"/>
        <v>1191923076.9230769</v>
      </c>
      <c r="G42" s="1040">
        <f t="shared" si="4"/>
        <v>0</v>
      </c>
      <c r="H42" s="744">
        <f t="shared" si="4"/>
        <v>1191923076.9230769</v>
      </c>
      <c r="I42"/>
      <c r="J42"/>
      <c r="K42"/>
      <c r="L42"/>
    </row>
    <row r="43" spans="1:12" ht="13.5" thickTop="1">
      <c r="A43" s="732"/>
      <c r="B43" s="746"/>
      <c r="C43" s="747"/>
      <c r="D43" s="748"/>
      <c r="E43" s="748"/>
      <c r="F43" s="748"/>
      <c r="G43" s="747"/>
      <c r="H43" s="747"/>
      <c r="I43"/>
      <c r="J43"/>
      <c r="K43"/>
      <c r="L43"/>
    </row>
    <row r="44" spans="1:12" ht="12.75" customHeight="1">
      <c r="A44" s="749" t="s">
        <v>693</v>
      </c>
      <c r="F44" s="429"/>
      <c r="G44" s="429"/>
      <c r="H44" s="429"/>
      <c r="I44"/>
      <c r="J44"/>
      <c r="K44"/>
    </row>
    <row r="45" spans="1:12">
      <c r="E45" s="429"/>
      <c r="F45" s="429"/>
      <c r="G45" s="429"/>
      <c r="H45" s="429"/>
      <c r="J45" s="746"/>
    </row>
    <row r="46" spans="1:12" ht="15">
      <c r="A46" s="751" t="s">
        <v>7</v>
      </c>
      <c r="E46" s="429"/>
      <c r="F46" s="429"/>
      <c r="G46" s="429"/>
      <c r="H46" s="81"/>
    </row>
    <row r="47" spans="1:12" ht="15">
      <c r="A47" s="751"/>
      <c r="B47" s="752" t="s">
        <v>644</v>
      </c>
      <c r="C47" s="752" t="s">
        <v>643</v>
      </c>
      <c r="D47" s="753" t="s">
        <v>642</v>
      </c>
      <c r="E47" s="752" t="s">
        <v>641</v>
      </c>
      <c r="F47" s="753" t="s">
        <v>640</v>
      </c>
      <c r="G47" s="752" t="s">
        <v>662</v>
      </c>
      <c r="H47" s="752" t="s">
        <v>663</v>
      </c>
    </row>
    <row r="48" spans="1:12">
      <c r="A48" s="479">
        <f>+A42+1</f>
        <v>29</v>
      </c>
      <c r="B48" s="754" t="str">
        <f>"Annual Interest Expense for "&amp;TCOS!L4</f>
        <v>Annual Interest Expense for 2025</v>
      </c>
      <c r="C48" s="755"/>
      <c r="D48" s="756"/>
      <c r="E48" s="757"/>
      <c r="F48" s="757"/>
      <c r="G48" s="757"/>
      <c r="H48" s="757"/>
      <c r="I48" s="757"/>
      <c r="J48" s="757"/>
      <c r="K48" s="757"/>
      <c r="L48" s="757"/>
    </row>
    <row r="49" spans="1:12">
      <c r="A49" s="479">
        <f t="shared" ref="A49:A56" si="5">+A48+1</f>
        <v>30</v>
      </c>
      <c r="B49" s="873" t="s">
        <v>766</v>
      </c>
      <c r="C49" s="755"/>
      <c r="D49" s="756"/>
      <c r="E49" s="959">
        <v>65772625.780000001</v>
      </c>
      <c r="F49" s="757"/>
      <c r="G49" s="757"/>
      <c r="H49" s="757"/>
      <c r="I49" s="757"/>
      <c r="J49" s="757"/>
      <c r="K49" s="757"/>
      <c r="L49" s="757"/>
    </row>
    <row r="50" spans="1:12" ht="28.5" customHeight="1">
      <c r="A50" s="479">
        <f t="shared" si="5"/>
        <v>31</v>
      </c>
      <c r="B50" s="1260" t="str">
        <f>"Less: Total Hedge Gain/Expense Accumulated from p 256-257, col. (i) of FERC Form 1  included in Ln "&amp;A49&amp;" and shown in "&amp;A74&amp;" below."</f>
        <v>Less: Total Hedge Gain/Expense Accumulated from p 256-257, col. (i) of FERC Form 1  included in Ln 30 and shown in 50 below.</v>
      </c>
      <c r="C50" s="1261"/>
      <c r="D50" s="756"/>
      <c r="E50" s="755">
        <f>+C74</f>
        <v>0</v>
      </c>
      <c r="F50" s="757"/>
      <c r="G50" s="757"/>
      <c r="H50" s="757"/>
      <c r="I50" s="757"/>
      <c r="J50" s="757"/>
      <c r="K50" s="757"/>
      <c r="L50" s="757"/>
    </row>
    <row r="51" spans="1:12" ht="16.5" customHeight="1">
      <c r="A51" s="479">
        <f t="shared" si="5"/>
        <v>32</v>
      </c>
      <c r="B51" s="760" t="str">
        <f>"Plus:  Allowed Hedge Recovery From Ln "&amp;A80&amp;"  below."</f>
        <v>Plus:  Allowed Hedge Recovery From Ln 55  below.</v>
      </c>
      <c r="C51" s="874"/>
      <c r="D51" s="756"/>
      <c r="E51" s="761">
        <f>+E80</f>
        <v>0</v>
      </c>
      <c r="F51" s="757"/>
      <c r="G51" s="757"/>
      <c r="H51" s="757"/>
      <c r="I51" s="757"/>
      <c r="J51" s="757"/>
      <c r="K51" s="757"/>
      <c r="L51" s="757"/>
    </row>
    <row r="52" spans="1:12">
      <c r="A52" s="479">
        <f t="shared" si="5"/>
        <v>33</v>
      </c>
      <c r="B52" s="873" t="s">
        <v>767</v>
      </c>
      <c r="C52" s="757"/>
      <c r="D52" s="757"/>
      <c r="E52" s="959">
        <v>765154.97</v>
      </c>
      <c r="F52" s="757"/>
      <c r="G52" s="757"/>
      <c r="H52" s="757"/>
      <c r="I52" s="757"/>
      <c r="J52" s="757"/>
    </row>
    <row r="53" spans="1:12">
      <c r="A53" s="479">
        <f t="shared" si="5"/>
        <v>34</v>
      </c>
      <c r="B53" s="873" t="s">
        <v>768</v>
      </c>
      <c r="C53" s="762"/>
      <c r="D53" s="756"/>
      <c r="E53" s="959">
        <v>33650.94</v>
      </c>
      <c r="F53" s="757"/>
      <c r="G53" s="757"/>
      <c r="H53" s="757"/>
      <c r="I53" s="757"/>
      <c r="J53" s="757"/>
    </row>
    <row r="54" spans="1:12">
      <c r="A54" s="479">
        <f t="shared" si="5"/>
        <v>35</v>
      </c>
      <c r="B54" s="873" t="s">
        <v>769</v>
      </c>
      <c r="C54" s="762"/>
      <c r="D54" s="756"/>
      <c r="E54" s="959"/>
      <c r="F54" s="757"/>
      <c r="G54" s="757"/>
      <c r="H54" s="757"/>
      <c r="I54" s="757"/>
      <c r="J54" s="757"/>
    </row>
    <row r="55" spans="1:12" ht="13.5" thickBot="1">
      <c r="A55" s="479">
        <f t="shared" si="5"/>
        <v>36</v>
      </c>
      <c r="B55" s="873" t="s">
        <v>770</v>
      </c>
      <c r="C55" s="762"/>
      <c r="D55" s="756"/>
      <c r="E55" s="1041"/>
      <c r="F55" s="757"/>
      <c r="G55" s="757"/>
      <c r="H55" s="757"/>
      <c r="I55" s="757"/>
      <c r="J55" s="757"/>
    </row>
    <row r="56" spans="1:12">
      <c r="A56" s="479">
        <f t="shared" si="5"/>
        <v>37</v>
      </c>
      <c r="B56" s="754" t="str">
        <f>"Total Interest Expense (Ln "&amp;A49&amp;" - "&amp;A50&amp;" + "&amp;A52&amp;" + "&amp;A53&amp;" - "&amp;A54&amp;" - "&amp;A55&amp;")"</f>
        <v>Total Interest Expense (Ln 30 - 31 + 33 + 34 - 35 - 36)</v>
      </c>
      <c r="C56" s="763"/>
      <c r="D56" s="764"/>
      <c r="E56" s="765">
        <f>+E49-E50+E51+E52+E53-E54-E55</f>
        <v>66571431.689999998</v>
      </c>
      <c r="F56" s="757"/>
      <c r="G56" s="757"/>
      <c r="H56" s="757"/>
      <c r="I56" s="757"/>
      <c r="J56" s="757"/>
    </row>
    <row r="57" spans="1:12" ht="13.5" thickBot="1">
      <c r="A57" s="479"/>
      <c r="B57" s="758"/>
      <c r="C57" s="762"/>
      <c r="D57" s="756"/>
      <c r="E57" s="765"/>
      <c r="F57" s="757"/>
      <c r="G57" s="757"/>
      <c r="H57" s="757"/>
      <c r="I57" s="757"/>
      <c r="J57" s="757"/>
    </row>
    <row r="58" spans="1:12" ht="13.5" thickBot="1">
      <c r="A58" s="479">
        <f>+A56+1</f>
        <v>38</v>
      </c>
      <c r="B58" s="754" t="str">
        <f>"Average Cost of Debt for "&amp;TCOS!L4&amp;" (Ln "&amp;A56&amp;"/ ln "&amp;A42&amp;" (g))"</f>
        <v>Average Cost of Debt for 2025 (Ln 37/ ln 28 (g))</v>
      </c>
      <c r="C58" s="763"/>
      <c r="D58" s="756"/>
      <c r="E58" s="766">
        <f>+E56/H42</f>
        <v>5.5852120811229429E-2</v>
      </c>
      <c r="F58" s="757"/>
      <c r="G58" s="757"/>
      <c r="H58" s="757"/>
      <c r="I58" s="757"/>
      <c r="J58" s="757"/>
    </row>
    <row r="59" spans="1:12">
      <c r="A59" s="767"/>
      <c r="B59" s="758"/>
      <c r="C59" s="762"/>
      <c r="D59" s="756"/>
      <c r="E59" s="762"/>
      <c r="F59" s="757"/>
      <c r="G59" s="757"/>
      <c r="H59" s="757"/>
      <c r="I59" s="757"/>
      <c r="J59" s="757"/>
    </row>
    <row r="60" spans="1:12" s="768" customFormat="1" ht="28.5" customHeight="1">
      <c r="A60" s="582"/>
      <c r="B60" s="1262" t="s">
        <v>0</v>
      </c>
      <c r="C60" s="1262"/>
      <c r="D60" s="1262"/>
      <c r="E60" s="1262"/>
      <c r="F60" s="583"/>
    </row>
    <row r="61" spans="1:12" s="768" customFormat="1" ht="107.25" customHeight="1">
      <c r="A61" s="584">
        <f>+A58+1</f>
        <v>39</v>
      </c>
      <c r="B61" s="1263" t="s">
        <v>314</v>
      </c>
      <c r="C61" s="1243"/>
      <c r="D61" s="1243"/>
      <c r="E61" s="1243"/>
      <c r="F61" s="429"/>
    </row>
    <row r="62" spans="1:12" s="768" customFormat="1" ht="12" customHeight="1">
      <c r="A62" s="582"/>
      <c r="B62" s="585"/>
      <c r="C62" s="585"/>
      <c r="D62" s="585"/>
      <c r="E62" s="585"/>
      <c r="G62" s="1264" t="s">
        <v>234</v>
      </c>
      <c r="H62" s="1264"/>
    </row>
    <row r="63" spans="1:12" s="768" customFormat="1" ht="52.5" customHeight="1">
      <c r="A63" s="437"/>
      <c r="B63" s="1032" t="s">
        <v>361</v>
      </c>
      <c r="C63" s="769" t="str">
        <f>"Total Hedge (Gain)/Loss for "&amp;TCOS!L4</f>
        <v>Total Hedge (Gain)/Loss for 2025</v>
      </c>
      <c r="D63" s="769" t="str">
        <f>"Less Excludable Amounts (See NOTE on Line "&amp;A61&amp;")"</f>
        <v>Less Excludable Amounts (See NOTE on Line 39)</v>
      </c>
      <c r="E63" s="769" t="s">
        <v>1</v>
      </c>
      <c r="F63" s="769" t="s">
        <v>233</v>
      </c>
      <c r="G63" s="769" t="s">
        <v>285</v>
      </c>
      <c r="H63" s="769" t="s">
        <v>287</v>
      </c>
    </row>
    <row r="64" spans="1:12" s="768" customFormat="1" ht="12.75" customHeight="1">
      <c r="A64" s="437">
        <f>+A61+1</f>
        <v>40</v>
      </c>
      <c r="B64" s="960"/>
      <c r="C64" s="680"/>
      <c r="D64" s="770"/>
      <c r="E64" s="771"/>
      <c r="F64" s="680"/>
      <c r="G64" s="772"/>
      <c r="H64" s="772"/>
      <c r="I64"/>
      <c r="J64"/>
    </row>
    <row r="65" spans="1:8" s="768" customFormat="1" ht="12.75" customHeight="1">
      <c r="A65" s="437">
        <f t="shared" ref="A65:A74" si="6">+A64+1</f>
        <v>41</v>
      </c>
      <c r="B65" s="960"/>
      <c r="C65" s="680"/>
      <c r="D65" s="770"/>
      <c r="E65" s="771"/>
      <c r="F65" s="680"/>
      <c r="G65" s="772"/>
      <c r="H65" s="772"/>
    </row>
    <row r="66" spans="1:8" s="768" customFormat="1" ht="12.75" customHeight="1">
      <c r="A66" s="437">
        <f t="shared" si="6"/>
        <v>42</v>
      </c>
      <c r="B66" s="960"/>
      <c r="C66" s="680"/>
      <c r="D66" s="773"/>
      <c r="E66" s="771"/>
      <c r="F66" s="680"/>
      <c r="G66" s="772"/>
      <c r="H66" s="772"/>
    </row>
    <row r="67" spans="1:8" s="768" customFormat="1" ht="12.75" customHeight="1">
      <c r="A67" s="437">
        <f t="shared" si="6"/>
        <v>43</v>
      </c>
      <c r="B67" s="960"/>
      <c r="C67" s="680"/>
      <c r="D67" s="773"/>
      <c r="E67" s="771"/>
      <c r="F67" s="680"/>
      <c r="G67" s="772"/>
      <c r="H67" s="772"/>
    </row>
    <row r="68" spans="1:8" s="768" customFormat="1" ht="12.75" customHeight="1">
      <c r="A68" s="437">
        <f t="shared" si="6"/>
        <v>44</v>
      </c>
      <c r="B68" s="960"/>
      <c r="C68" s="680"/>
      <c r="D68" s="770"/>
      <c r="E68" s="771">
        <f t="shared" ref="E68:E72" si="7">+C68-D68</f>
        <v>0</v>
      </c>
      <c r="F68" s="680"/>
      <c r="G68" s="772"/>
      <c r="H68" s="772"/>
    </row>
    <row r="69" spans="1:8" s="768" customFormat="1" ht="12.75" customHeight="1">
      <c r="A69" s="437">
        <f t="shared" si="6"/>
        <v>45</v>
      </c>
      <c r="B69" s="960"/>
      <c r="C69" s="680"/>
      <c r="D69" s="770"/>
      <c r="E69" s="771">
        <f t="shared" si="7"/>
        <v>0</v>
      </c>
      <c r="F69" s="680"/>
      <c r="G69" s="772"/>
      <c r="H69" s="772"/>
    </row>
    <row r="70" spans="1:8" s="768" customFormat="1" ht="12.75" customHeight="1">
      <c r="A70" s="437">
        <f t="shared" si="6"/>
        <v>46</v>
      </c>
      <c r="B70" s="960"/>
      <c r="C70" s="680"/>
      <c r="D70" s="770"/>
      <c r="E70" s="771">
        <f t="shared" si="7"/>
        <v>0</v>
      </c>
      <c r="F70" s="680"/>
      <c r="G70" s="772"/>
      <c r="H70" s="772"/>
    </row>
    <row r="71" spans="1:8" s="768" customFormat="1" ht="12.75" customHeight="1">
      <c r="A71" s="437">
        <f t="shared" si="6"/>
        <v>47</v>
      </c>
      <c r="B71" s="960"/>
      <c r="C71" s="680"/>
      <c r="D71" s="774"/>
      <c r="E71" s="771">
        <f t="shared" si="7"/>
        <v>0</v>
      </c>
      <c r="F71" s="680"/>
      <c r="G71" s="772"/>
      <c r="H71" s="772"/>
    </row>
    <row r="72" spans="1:8" s="768" customFormat="1" ht="12.75" customHeight="1">
      <c r="A72" s="437">
        <f t="shared" si="6"/>
        <v>48</v>
      </c>
      <c r="B72" s="960"/>
      <c r="C72" s="680"/>
      <c r="D72" s="759"/>
      <c r="E72" s="771">
        <f t="shared" si="7"/>
        <v>0</v>
      </c>
      <c r="F72" s="775"/>
      <c r="G72" s="775"/>
      <c r="H72" s="775"/>
    </row>
    <row r="73" spans="1:8" s="768" customFormat="1" ht="12.75" customHeight="1">
      <c r="A73" s="437">
        <f t="shared" si="6"/>
        <v>49</v>
      </c>
      <c r="B73" s="4"/>
      <c r="C73" s="776"/>
      <c r="D73" s="776"/>
      <c r="E73" s="777"/>
      <c r="F73" s="771">
        <f>SUM(F64:F72)</f>
        <v>0</v>
      </c>
    </row>
    <row r="74" spans="1:8" s="768" customFormat="1" ht="12.75" customHeight="1">
      <c r="A74" s="437">
        <f t="shared" si="6"/>
        <v>50</v>
      </c>
      <c r="B74" s="758" t="s">
        <v>8</v>
      </c>
      <c r="C74" s="765">
        <f>SUM(C64:C72)</f>
        <v>0</v>
      </c>
      <c r="D74" s="765">
        <f>SUM(D64:D72)</f>
        <v>0</v>
      </c>
    </row>
    <row r="75" spans="1:8" s="768" customFormat="1" ht="21" customHeight="1">
      <c r="A75" s="437"/>
      <c r="B75" s="758"/>
      <c r="C75" s="765"/>
      <c r="D75" s="765"/>
      <c r="E75" s="765"/>
    </row>
    <row r="76" spans="1:8" s="768" customFormat="1" ht="14.25" customHeight="1">
      <c r="A76" s="437">
        <f>+A74+1</f>
        <v>51</v>
      </c>
      <c r="B76" s="758" t="str">
        <f>"Hedge Gain or Loss Prior to Application of Recovery Limit (Sum of Lines "&amp;A64&amp;" to "&amp;A72&amp;")"</f>
        <v>Hedge Gain or Loss Prior to Application of Recovery Limit (Sum of Lines 40 to 48)</v>
      </c>
      <c r="C76" s="765"/>
      <c r="D76" s="765"/>
      <c r="E76" s="765">
        <f>SUM(E64:E72)</f>
        <v>0</v>
      </c>
    </row>
    <row r="77" spans="1:8" s="768" customFormat="1" ht="12.75" customHeight="1">
      <c r="A77" s="437">
        <f>+A76+1</f>
        <v>52</v>
      </c>
      <c r="B77" s="778" t="str">
        <f>"Total Average Capital Structure Balance for "&amp;TCOS!L4&amp;" (TCOS, Ln "&amp;TCOS!B274&amp;")"</f>
        <v>Total Average Capital Structure Balance for 2025 (TCOS, Ln 157)</v>
      </c>
      <c r="C77" s="762"/>
      <c r="D77" s="756"/>
      <c r="E77" s="779">
        <f>TCOS!G274</f>
        <v>2202278113.2534614</v>
      </c>
      <c r="H77" s="771"/>
    </row>
    <row r="78" spans="1:8" s="768" customFormat="1" ht="12.75" customHeight="1">
      <c r="A78" s="437">
        <f>+A77+1</f>
        <v>53</v>
      </c>
      <c r="B78" s="758" t="s">
        <v>491</v>
      </c>
      <c r="C78" s="762"/>
      <c r="D78" s="756"/>
      <c r="E78" s="780">
        <v>5.0000000000000001E-4</v>
      </c>
      <c r="G78" s="781"/>
    </row>
    <row r="79" spans="1:8" s="768" customFormat="1" ht="12.75" customHeight="1" thickBot="1">
      <c r="A79" s="437">
        <f>+A78+1</f>
        <v>54</v>
      </c>
      <c r="B79" s="758" t="s">
        <v>492</v>
      </c>
      <c r="C79" s="762"/>
      <c r="D79" s="756"/>
      <c r="E79" s="782">
        <f>+E77*E78</f>
        <v>1101139.0566267306</v>
      </c>
    </row>
    <row r="80" spans="1:8" s="768" customFormat="1" ht="12.75" customHeight="1" thickBot="1">
      <c r="A80" s="437">
        <f>+A79+1</f>
        <v>55</v>
      </c>
      <c r="B80" s="754" t="str">
        <f>"Recoverable Hedge Amortization (Lesser of Ln "&amp;A76&amp;" or Ln "&amp;A79&amp;")"</f>
        <v>Recoverable Hedge Amortization (Lesser of Ln 51 or Ln 54)</v>
      </c>
      <c r="C80" s="762"/>
      <c r="D80" s="756"/>
      <c r="E80" s="783">
        <f>+IF(E79&lt;E76,E79,E76)</f>
        <v>0</v>
      </c>
    </row>
    <row r="81" spans="1:5" s="768" customFormat="1" ht="12.75" customHeight="1">
      <c r="A81" s="437"/>
      <c r="B81" s="758"/>
      <c r="C81" s="762"/>
      <c r="D81" s="756"/>
      <c r="E81" s="762"/>
    </row>
    <row r="82" spans="1:5" s="768" customFormat="1" ht="12.75" customHeight="1">
      <c r="A82" s="784" t="s">
        <v>9</v>
      </c>
      <c r="B82" s="785"/>
      <c r="C82" s="762"/>
      <c r="D82" s="756"/>
      <c r="E82" s="762"/>
    </row>
    <row r="83" spans="1:5" s="768" customFormat="1" ht="12.75" customHeight="1">
      <c r="A83" s="437"/>
      <c r="B83" s="758"/>
      <c r="C83" s="762"/>
      <c r="D83" s="756"/>
      <c r="E83" s="762"/>
    </row>
    <row r="84" spans="1:5" s="768" customFormat="1" ht="12.75" customHeight="1">
      <c r="A84" s="437"/>
      <c r="B84" s="786" t="s">
        <v>260</v>
      </c>
      <c r="C84" s="787"/>
      <c r="D84" s="756"/>
      <c r="E84" s="787" t="s">
        <v>508</v>
      </c>
    </row>
    <row r="85" spans="1:5" s="768" customFormat="1" ht="12.75" customHeight="1">
      <c r="A85" s="437">
        <f>+A80+1</f>
        <v>56</v>
      </c>
      <c r="B85" s="756" t="str">
        <f>""&amp;C$85*100&amp;"% Series - "&amp;C$86&amp;" - Dividend Rate (p. 250-251)"</f>
        <v>0% Series - 0 - Dividend Rate (p. 250-251)</v>
      </c>
      <c r="C85" s="788">
        <v>0</v>
      </c>
      <c r="D85" s="788">
        <v>0</v>
      </c>
      <c r="E85" s="787"/>
    </row>
    <row r="86" spans="1:5" s="768" customFormat="1" ht="12.75" customHeight="1">
      <c r="A86" s="437">
        <f>+A85+1</f>
        <v>57</v>
      </c>
      <c r="B86" s="756" t="str">
        <f>""&amp;C$85*100&amp;"% Series - "&amp;C$86&amp;" - Par Value (p. 250-251)"</f>
        <v>0% Series - 0 - Par Value (p. 250-251)</v>
      </c>
      <c r="C86" s="789">
        <v>0</v>
      </c>
      <c r="D86" s="789">
        <v>0</v>
      </c>
      <c r="E86" s="787"/>
    </row>
    <row r="87" spans="1:5" s="768" customFormat="1" ht="12.75" customHeight="1">
      <c r="A87" s="437">
        <f>+A86+1</f>
        <v>58</v>
      </c>
      <c r="B87" s="756" t="str">
        <f>""&amp;C$85*100&amp;"% Series - "&amp;C$86&amp;" - Shares O/S (p.250-251) "</f>
        <v xml:space="preserve">0% Series - 0 - Shares O/S (p.250-251) </v>
      </c>
      <c r="C87" s="759">
        <v>0</v>
      </c>
      <c r="D87" s="759">
        <v>0</v>
      </c>
      <c r="E87" s="790"/>
    </row>
    <row r="88" spans="1:5" s="768" customFormat="1" ht="12.75" customHeight="1">
      <c r="A88" s="437">
        <f>+A87+1</f>
        <v>59</v>
      </c>
      <c r="B88" s="756" t="str">
        <f>""&amp;C$85*100&amp;"% Series - "&amp;C$86&amp;" - Monetary Value (Ln "&amp;A86&amp;" * Ln "&amp;A87&amp;")"</f>
        <v>0% Series - 0 - Monetary Value (Ln 57 * Ln 58)</v>
      </c>
      <c r="C88" s="791">
        <f>+C87*C86</f>
        <v>0</v>
      </c>
      <c r="D88" s="791">
        <f>+D87*D86</f>
        <v>0</v>
      </c>
      <c r="E88" s="475">
        <f>IF(C88=D88=0,0,AVERAGE(C88:D88))</f>
        <v>0</v>
      </c>
    </row>
    <row r="89" spans="1:5" s="768" customFormat="1" ht="12.75" customHeight="1">
      <c r="A89" s="437">
        <f>+A88+1</f>
        <v>60</v>
      </c>
      <c r="B89" s="756" t="str">
        <f>""&amp;C$85*100&amp;"% Series - "&amp;C$86&amp;" -  Dividend Amount (Ln "&amp;A85&amp;" * Ln "&amp;A88&amp;")"</f>
        <v>0% Series - 0 -  Dividend Amount (Ln 56 * Ln 59)</v>
      </c>
      <c r="C89" s="791">
        <f>+C88*C85</f>
        <v>0</v>
      </c>
      <c r="D89" s="791">
        <f>+D88*D85</f>
        <v>0</v>
      </c>
      <c r="E89" s="475">
        <f>IF(C89=D89=0,0,AVERAGE(C89:D89))</f>
        <v>0</v>
      </c>
    </row>
    <row r="90" spans="1:5" s="768" customFormat="1" ht="12.75" customHeight="1">
      <c r="A90" s="437"/>
      <c r="B90" s="756"/>
      <c r="C90" s="791"/>
      <c r="D90" s="781"/>
      <c r="E90" s="792"/>
    </row>
    <row r="91" spans="1:5" s="768" customFormat="1" ht="12.75" customHeight="1">
      <c r="A91" s="437">
        <f>+A89+1</f>
        <v>61</v>
      </c>
      <c r="B91" s="756" t="str">
        <f>""&amp;C$91*100&amp;"% Series - "&amp;C$92&amp;" - Dividend Rate (p. 250-251)"</f>
        <v>0% Series - 0 - Dividend Rate (p. 250-251)</v>
      </c>
      <c r="C91" s="788">
        <v>0</v>
      </c>
      <c r="D91" s="788">
        <v>0</v>
      </c>
      <c r="E91" s="792"/>
    </row>
    <row r="92" spans="1:5" s="768" customFormat="1" ht="12.75" customHeight="1">
      <c r="A92" s="437">
        <f>+A91+1</f>
        <v>62</v>
      </c>
      <c r="B92" s="756" t="str">
        <f>""&amp;C$91*100&amp;"% Series - "&amp;C$92&amp;" - Par Value (p. 250-251)"</f>
        <v>0% Series - 0 - Par Value (p. 250-251)</v>
      </c>
      <c r="C92" s="789">
        <v>0</v>
      </c>
      <c r="D92" s="789">
        <v>0</v>
      </c>
      <c r="E92" s="792"/>
    </row>
    <row r="93" spans="1:5" s="768" customFormat="1" ht="12.75" customHeight="1">
      <c r="A93" s="437">
        <f>+A92+1</f>
        <v>63</v>
      </c>
      <c r="B93" s="756" t="str">
        <f>""&amp;C$91*100&amp;"% Series - "&amp;C$92&amp;" - Shares O/S (p.250-251) "</f>
        <v xml:space="preserve">0% Series - 0 - Shares O/S (p.250-251) </v>
      </c>
      <c r="C93" s="759">
        <v>0</v>
      </c>
      <c r="D93" s="759">
        <v>0</v>
      </c>
      <c r="E93" s="792"/>
    </row>
    <row r="94" spans="1:5" s="768" customFormat="1" ht="12.75" customHeight="1">
      <c r="A94" s="437">
        <f>+A93+1</f>
        <v>64</v>
      </c>
      <c r="B94" s="756" t="str">
        <f>""&amp;C$91*100&amp;"% Series - "&amp;C$92&amp;" - Monetary Value (Ln "&amp;A92&amp;" * Ln "&amp;A93&amp;")"</f>
        <v>0% Series - 0 - Monetary Value (Ln 62 * Ln 63)</v>
      </c>
      <c r="C94" s="755">
        <f>+C93*C92</f>
        <v>0</v>
      </c>
      <c r="D94" s="755">
        <f>+D93*D92</f>
        <v>0</v>
      </c>
      <c r="E94" s="475">
        <f>IF(C94=D94=0,0,AVERAGE(C94:D94))</f>
        <v>0</v>
      </c>
    </row>
    <row r="95" spans="1:5" s="768" customFormat="1" ht="12.75" customHeight="1">
      <c r="A95" s="437">
        <f>+A94+1</f>
        <v>65</v>
      </c>
      <c r="B95" s="756" t="str">
        <f>""&amp;C$91*100&amp;"% Series - "&amp;C$92&amp;" -  Dividend Amount (Ln "&amp;A91&amp;" * Ln "&amp;A94&amp;")"</f>
        <v>0% Series - 0 -  Dividend Amount (Ln 61 * Ln 64)</v>
      </c>
      <c r="C95" s="755">
        <f>+C94*C91</f>
        <v>0</v>
      </c>
      <c r="D95" s="755">
        <f>+D94*D91</f>
        <v>0</v>
      </c>
      <c r="E95" s="475">
        <f>IF(C95=D95=0,0,AVERAGE(C95:D95))</f>
        <v>0</v>
      </c>
    </row>
    <row r="96" spans="1:5" s="768" customFormat="1" ht="12.75" customHeight="1">
      <c r="A96" s="437"/>
      <c r="B96" s="756"/>
      <c r="C96" s="755"/>
      <c r="D96" s="755"/>
      <c r="E96" s="475"/>
    </row>
    <row r="97" spans="1:6" s="768" customFormat="1" ht="12.75" customHeight="1">
      <c r="A97" s="437">
        <f>+A95+1</f>
        <v>66</v>
      </c>
      <c r="B97" s="756" t="str">
        <f>""&amp;C$97*100&amp;"% Series - "&amp;C$98&amp;" - Dividend Rate (p. 250-251)"</f>
        <v>0% Series - 0 - Dividend Rate (p. 250-251)</v>
      </c>
      <c r="C97" s="788">
        <v>0</v>
      </c>
      <c r="D97" s="788">
        <v>0</v>
      </c>
      <c r="E97" s="475"/>
    </row>
    <row r="98" spans="1:6" s="768" customFormat="1" ht="12.75" customHeight="1">
      <c r="A98" s="437">
        <f>+A97+1</f>
        <v>67</v>
      </c>
      <c r="B98" s="756" t="str">
        <f>""&amp;C$97*100&amp;"% Series - "&amp;C$98&amp;" - Par Value (p. 250-251)"</f>
        <v>0% Series - 0 - Par Value (p. 250-251)</v>
      </c>
      <c r="C98" s="789">
        <v>0</v>
      </c>
      <c r="D98" s="789">
        <v>0</v>
      </c>
      <c r="E98" s="475"/>
    </row>
    <row r="99" spans="1:6" s="768" customFormat="1" ht="12.75" customHeight="1">
      <c r="A99" s="437">
        <f>+A98+1</f>
        <v>68</v>
      </c>
      <c r="B99" s="756" t="str">
        <f>""&amp;C$97*100&amp;"% Series - "&amp;C$98&amp;" - Shares O/S (p.250-251) "</f>
        <v xml:space="preserve">0% Series - 0 - Shares O/S (p.250-251) </v>
      </c>
      <c r="C99" s="759">
        <v>0</v>
      </c>
      <c r="D99" s="759">
        <v>0</v>
      </c>
      <c r="E99" s="792"/>
    </row>
    <row r="100" spans="1:6" s="768" customFormat="1" ht="12.75" customHeight="1">
      <c r="A100" s="437">
        <f>+A99+1</f>
        <v>69</v>
      </c>
      <c r="B100" s="756" t="str">
        <f>""&amp;C$97*100&amp;"% Series - "&amp;C$98&amp;" - Monetary Value (Ln "&amp;A98&amp;" * Ln "&amp;A99&amp;")"</f>
        <v>0% Series - 0 - Monetary Value (Ln 67 * Ln 68)</v>
      </c>
      <c r="C100" s="755">
        <f>+C99*C98</f>
        <v>0</v>
      </c>
      <c r="D100" s="755">
        <f>+D99*D98</f>
        <v>0</v>
      </c>
      <c r="E100" s="475">
        <f>IF(C100=D100=0,0,AVERAGE(C100:D100))</f>
        <v>0</v>
      </c>
    </row>
    <row r="101" spans="1:6" s="768" customFormat="1" ht="12.75" customHeight="1">
      <c r="A101" s="437">
        <f>+A100+1</f>
        <v>70</v>
      </c>
      <c r="B101" s="756" t="str">
        <f>""&amp;C$97*100&amp;"% Series - "&amp;C$98&amp;" -  Dividend Amount (Ln "&amp;A97&amp;" * Ln "&amp;A100&amp;")"</f>
        <v>0% Series - 0 -  Dividend Amount (Ln 66 * Ln 69)</v>
      </c>
      <c r="C101" s="755">
        <f>+C100*C97</f>
        <v>0</v>
      </c>
      <c r="D101" s="755">
        <f>+D100*D97</f>
        <v>0</v>
      </c>
      <c r="E101" s="475">
        <f>IF(C101=D101=0,0,AVERAGE(C101:D101))</f>
        <v>0</v>
      </c>
    </row>
    <row r="102" spans="1:6" s="768" customFormat="1" ht="12.75" customHeight="1">
      <c r="A102" s="437"/>
      <c r="B102" s="756"/>
      <c r="C102" s="755"/>
      <c r="D102" s="755"/>
    </row>
    <row r="103" spans="1:6" s="768" customFormat="1" ht="12.75" customHeight="1">
      <c r="A103" s="437">
        <f>+A101+1</f>
        <v>71</v>
      </c>
      <c r="B103" s="764" t="str">
        <f>"Balance of Preferred Stock (Lns "&amp;A88&amp;", "&amp;A94&amp;", "&amp;A100&amp;")"</f>
        <v>Balance of Preferred Stock (Lns 59, 64, 69)</v>
      </c>
      <c r="C103" s="755">
        <f>+C88+C94+C100</f>
        <v>0</v>
      </c>
      <c r="D103" s="755">
        <f>+D88+D94+D100</f>
        <v>0</v>
      </c>
      <c r="E103" s="793">
        <f>+E88+E94+E100</f>
        <v>0</v>
      </c>
      <c r="F103" s="756" t="s">
        <v>315</v>
      </c>
    </row>
    <row r="104" spans="1:6" s="768" customFormat="1" ht="12.75" customHeight="1" thickBot="1">
      <c r="A104" s="437">
        <f>+A103+1</f>
        <v>72</v>
      </c>
      <c r="B104" s="764" t="str">
        <f>"Dividends on Preferred Stock (Lns "&amp;A89&amp;", "&amp;A95&amp;", "&amp;A101&amp;")"</f>
        <v>Dividends on Preferred Stock (Lns 60, 65, 70)</v>
      </c>
      <c r="C104" s="794">
        <f>+C95+C89+C101</f>
        <v>0</v>
      </c>
      <c r="D104" s="794">
        <f>+D95+D89+D101</f>
        <v>0</v>
      </c>
      <c r="E104" s="795">
        <f>+E101+E95+E89</f>
        <v>0</v>
      </c>
    </row>
    <row r="105" spans="1:6" s="768" customFormat="1" ht="12.75" customHeight="1" thickBot="1">
      <c r="A105" s="437">
        <f>+A104+1</f>
        <v>73</v>
      </c>
      <c r="B105" s="764" t="str">
        <f>"Average Cost of Preferred Stock (Ln "&amp;A104&amp;"/"&amp;A103&amp;")"</f>
        <v>Average Cost of Preferred Stock (Ln 72/71)</v>
      </c>
      <c r="C105" s="762">
        <f>IF(C103=0,0,C104/C103)</f>
        <v>0</v>
      </c>
      <c r="D105" s="762">
        <f>IF(D103=0,0,D104/D103)</f>
        <v>0</v>
      </c>
      <c r="E105" s="766">
        <f>IF(E103=0,0,+E104/E103)</f>
        <v>0</v>
      </c>
    </row>
  </sheetData>
  <mergeCells count="10">
    <mergeCell ref="B50:C50"/>
    <mergeCell ref="B60:E60"/>
    <mergeCell ref="B61:E61"/>
    <mergeCell ref="G62:H62"/>
    <mergeCell ref="A1:G1"/>
    <mergeCell ref="A2:G2"/>
    <mergeCell ref="A3:G3"/>
    <mergeCell ref="A4:G4"/>
    <mergeCell ref="C6:G6"/>
    <mergeCell ref="C25:H25"/>
  </mergeCells>
  <pageMargins left="0.7" right="0.7" top="0.75" bottom="0.75" header="0.3" footer="0.3"/>
  <pageSetup scale="66" fitToHeight="0" orientation="landscape" cellComments="asDisplayed" r:id="rId1"/>
  <headerFooter>
    <oddHeader xml:space="preserve">&amp;RPage &amp;P of &amp;N
</oddHeader>
  </headerFooter>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92"/>
  <sheetViews>
    <sheetView tabSelected="1" view="pageBreakPreview" topLeftCell="A46" zoomScale="70" zoomScaleNormal="100" zoomScaleSheetLayoutView="70" zoomScalePageLayoutView="50" workbookViewId="0">
      <selection activeCell="D9" sqref="D9"/>
    </sheetView>
  </sheetViews>
  <sheetFormatPr defaultColWidth="11.42578125" defaultRowHeight="12.75"/>
  <cols>
    <col min="1" max="1" width="10.42578125" style="697" customWidth="1"/>
    <col min="2" max="2" width="64.5703125" style="4" customWidth="1"/>
    <col min="3" max="3" width="26.5703125" style="4" bestFit="1" customWidth="1"/>
    <col min="4" max="11" width="20.42578125" style="4" customWidth="1"/>
    <col min="12" max="12" width="20" style="4" customWidth="1"/>
    <col min="13" max="14" width="15.140625" style="4" customWidth="1"/>
    <col min="15" max="16384" width="11.42578125" style="4"/>
  </cols>
  <sheetData>
    <row r="1" spans="1:13" ht="15">
      <c r="A1" s="1210" t="s">
        <v>389</v>
      </c>
      <c r="B1" s="1210"/>
      <c r="C1" s="1210"/>
      <c r="D1" s="1210"/>
      <c r="E1" s="1210"/>
      <c r="F1" s="1210"/>
      <c r="G1" s="1210"/>
      <c r="H1" s="81"/>
      <c r="I1" s="81"/>
    </row>
    <row r="2" spans="1:13" ht="15">
      <c r="A2" s="1211" t="str">
        <f>"Cost of Service Formula Rate Using Actual/Projected FF1 Balances"</f>
        <v>Cost of Service Formula Rate Using Actual/Projected FF1 Balances</v>
      </c>
      <c r="B2" s="1211"/>
      <c r="C2" s="1211"/>
      <c r="D2" s="1211"/>
      <c r="E2" s="1211"/>
      <c r="F2" s="1211"/>
      <c r="G2" s="1211"/>
      <c r="H2" s="81"/>
      <c r="I2" s="81"/>
      <c r="J2" s="81"/>
      <c r="L2" s="563"/>
    </row>
    <row r="3" spans="1:13" ht="15">
      <c r="A3" s="1211" t="s">
        <v>661</v>
      </c>
      <c r="B3" s="1211"/>
      <c r="C3" s="1211"/>
      <c r="D3" s="1211"/>
      <c r="E3" s="1211"/>
      <c r="F3" s="1211"/>
      <c r="G3" s="1211"/>
      <c r="H3" s="81"/>
      <c r="I3" s="81"/>
      <c r="J3" s="81"/>
    </row>
    <row r="4" spans="1:13" ht="15">
      <c r="A4" s="1212" t="str">
        <f>TCOS!F9</f>
        <v>KENTUCKY POWER COMPANY</v>
      </c>
      <c r="B4" s="1212"/>
      <c r="C4" s="1212"/>
      <c r="D4" s="1212"/>
      <c r="E4" s="1212"/>
      <c r="F4" s="1212"/>
      <c r="G4" s="1212"/>
      <c r="H4" s="81"/>
      <c r="I4" s="81"/>
      <c r="J4" s="81"/>
    </row>
    <row r="5" spans="1:13">
      <c r="A5" s="81"/>
      <c r="B5" s="722"/>
      <c r="C5" s="722"/>
      <c r="D5" s="722"/>
      <c r="E5" s="724"/>
      <c r="F5" s="704"/>
      <c r="H5" s="704"/>
      <c r="J5" s="704"/>
      <c r="L5" s="704"/>
    </row>
    <row r="6" spans="1:13" ht="12.75" customHeight="1">
      <c r="A6" s="81"/>
      <c r="B6" s="722"/>
      <c r="C6" s="1213" t="s">
        <v>660</v>
      </c>
      <c r="D6" s="1214"/>
      <c r="E6" s="1214"/>
      <c r="F6" s="1214"/>
      <c r="G6" s="1214"/>
      <c r="H6" s="1214"/>
      <c r="I6" s="1214"/>
      <c r="J6" s="1214"/>
      <c r="K6" s="1214"/>
      <c r="L6" s="1214"/>
      <c r="M6" s="1215"/>
    </row>
    <row r="7" spans="1:13" s="510" customFormat="1" ht="25.5">
      <c r="A7" s="721" t="s">
        <v>650</v>
      </c>
      <c r="B7" s="720" t="s">
        <v>649</v>
      </c>
      <c r="C7" s="708" t="s">
        <v>231</v>
      </c>
      <c r="D7" s="708" t="s">
        <v>658</v>
      </c>
      <c r="E7" s="708" t="s">
        <v>117</v>
      </c>
      <c r="F7" s="708" t="s">
        <v>657</v>
      </c>
      <c r="G7" s="708" t="s">
        <v>440</v>
      </c>
      <c r="H7" s="708" t="s">
        <v>656</v>
      </c>
      <c r="I7" s="708" t="s">
        <v>336</v>
      </c>
      <c r="J7" s="708" t="s">
        <v>655</v>
      </c>
      <c r="K7" s="708" t="s">
        <v>654</v>
      </c>
      <c r="L7" s="708" t="s">
        <v>1308</v>
      </c>
      <c r="M7" s="707" t="s">
        <v>1309</v>
      </c>
    </row>
    <row r="8" spans="1:13" s="703" customFormat="1">
      <c r="A8" s="702"/>
      <c r="B8" s="705" t="s">
        <v>644</v>
      </c>
      <c r="C8" s="704" t="s">
        <v>643</v>
      </c>
      <c r="D8" s="704" t="s">
        <v>642</v>
      </c>
      <c r="E8" s="704" t="s">
        <v>641</v>
      </c>
      <c r="F8" s="704" t="s">
        <v>640</v>
      </c>
      <c r="G8" s="704" t="s">
        <v>662</v>
      </c>
      <c r="H8" s="704" t="s">
        <v>663</v>
      </c>
      <c r="I8" s="704" t="s">
        <v>653</v>
      </c>
      <c r="J8" s="704" t="s">
        <v>652</v>
      </c>
      <c r="K8" s="1123" t="s">
        <v>651</v>
      </c>
      <c r="L8" s="704" t="s">
        <v>1310</v>
      </c>
      <c r="M8" s="705" t="s">
        <v>1311</v>
      </c>
    </row>
    <row r="9" spans="1:13" s="703" customFormat="1" ht="44.25" customHeight="1">
      <c r="A9" s="702"/>
      <c r="B9" s="705" t="s">
        <v>639</v>
      </c>
      <c r="C9" s="1118" t="s">
        <v>444</v>
      </c>
      <c r="D9" s="1118" t="s">
        <v>449</v>
      </c>
      <c r="E9" s="1118" t="s">
        <v>445</v>
      </c>
      <c r="F9" s="1118" t="s">
        <v>664</v>
      </c>
      <c r="G9" s="1118" t="s">
        <v>446</v>
      </c>
      <c r="H9" s="1118" t="s">
        <v>447</v>
      </c>
      <c r="I9" s="1118" t="s">
        <v>665</v>
      </c>
      <c r="J9" s="1118" t="s">
        <v>666</v>
      </c>
      <c r="K9" s="1118" t="s">
        <v>448</v>
      </c>
      <c r="L9" s="1118" t="s">
        <v>1312</v>
      </c>
      <c r="M9" s="1119" t="s">
        <v>1313</v>
      </c>
    </row>
    <row r="10" spans="1:13">
      <c r="A10" s="702">
        <v>1</v>
      </c>
      <c r="B10" s="718" t="s">
        <v>637</v>
      </c>
      <c r="C10" s="1124">
        <v>1290251633.99</v>
      </c>
      <c r="D10" s="1124">
        <v>34041525.869999997</v>
      </c>
      <c r="E10" s="1124">
        <v>950886999.46000004</v>
      </c>
      <c r="F10" s="1124">
        <v>0</v>
      </c>
      <c r="G10" s="1124">
        <v>1193740965.22</v>
      </c>
      <c r="H10" s="1124">
        <v>0</v>
      </c>
      <c r="I10" s="1124">
        <v>118922377.57999997</v>
      </c>
      <c r="J10" s="1124">
        <v>158819.18</v>
      </c>
      <c r="K10" s="1124">
        <v>56875953.219999999</v>
      </c>
      <c r="L10" s="1124">
        <v>0</v>
      </c>
      <c r="M10" s="1124">
        <v>0</v>
      </c>
    </row>
    <row r="11" spans="1:13">
      <c r="A11" s="702">
        <f>+A10+1</f>
        <v>2</v>
      </c>
      <c r="B11" s="718" t="s">
        <v>187</v>
      </c>
      <c r="C11" s="1124">
        <v>1290927025.4400001</v>
      </c>
      <c r="D11" s="1124">
        <v>34041525.869999997</v>
      </c>
      <c r="E11" s="1124">
        <v>954374534.55999994</v>
      </c>
      <c r="F11" s="1124">
        <v>0</v>
      </c>
      <c r="G11" s="1124">
        <v>1201122040.23</v>
      </c>
      <c r="H11" s="1124">
        <v>0</v>
      </c>
      <c r="I11" s="1124">
        <v>174187100.29000002</v>
      </c>
      <c r="J11" s="1124">
        <v>158819.18</v>
      </c>
      <c r="K11" s="1124">
        <v>52919.179999999702</v>
      </c>
      <c r="L11" s="1124">
        <v>0</v>
      </c>
      <c r="M11" s="1124">
        <v>0</v>
      </c>
    </row>
    <row r="12" spans="1:13">
      <c r="A12" s="702">
        <f t="shared" ref="A12:A23" si="0">+A11+1</f>
        <v>3</v>
      </c>
      <c r="B12" s="717" t="s">
        <v>561</v>
      </c>
      <c r="C12" s="1124">
        <v>1291580262.8</v>
      </c>
      <c r="D12" s="1124">
        <v>34041525.869999997</v>
      </c>
      <c r="E12" s="1124">
        <v>956910967.54999983</v>
      </c>
      <c r="F12" s="1124">
        <v>0</v>
      </c>
      <c r="G12" s="1124">
        <v>1206890644.0300004</v>
      </c>
      <c r="H12" s="1124">
        <v>0</v>
      </c>
      <c r="I12" s="1124">
        <v>175237389.28000009</v>
      </c>
      <c r="J12" s="1124">
        <v>158819.18</v>
      </c>
      <c r="K12" s="1124">
        <v>52919.18</v>
      </c>
      <c r="L12" s="1124">
        <v>0</v>
      </c>
      <c r="M12" s="1124">
        <v>0</v>
      </c>
    </row>
    <row r="13" spans="1:13">
      <c r="A13" s="702">
        <f t="shared" si="0"/>
        <v>4</v>
      </c>
      <c r="B13" s="717" t="s">
        <v>636</v>
      </c>
      <c r="C13" s="1124">
        <v>1291823961.8499999</v>
      </c>
      <c r="D13" s="1124">
        <v>34041525.869999997</v>
      </c>
      <c r="E13" s="1124">
        <v>959258747.75000012</v>
      </c>
      <c r="F13" s="1124">
        <v>0</v>
      </c>
      <c r="G13" s="1124">
        <v>1212717251.6699998</v>
      </c>
      <c r="H13" s="1124">
        <v>0</v>
      </c>
      <c r="I13" s="1124">
        <v>173483736.44</v>
      </c>
      <c r="J13" s="1124">
        <v>158819.18</v>
      </c>
      <c r="K13" s="1124">
        <v>52919.18</v>
      </c>
      <c r="L13" s="1124">
        <v>0</v>
      </c>
      <c r="M13" s="1124">
        <v>0</v>
      </c>
    </row>
    <row r="14" spans="1:13">
      <c r="A14" s="702">
        <f t="shared" si="0"/>
        <v>5</v>
      </c>
      <c r="B14" s="717" t="s">
        <v>189</v>
      </c>
      <c r="C14" s="1124">
        <v>1291769809.75</v>
      </c>
      <c r="D14" s="1124">
        <v>34041525.869999997</v>
      </c>
      <c r="E14" s="1124">
        <v>960216348.48999989</v>
      </c>
      <c r="F14" s="1124">
        <v>0</v>
      </c>
      <c r="G14" s="1124">
        <v>1217401473.8199999</v>
      </c>
      <c r="H14" s="1124">
        <v>0</v>
      </c>
      <c r="I14" s="1124">
        <v>173731618.94</v>
      </c>
      <c r="J14" s="1124">
        <v>158819.18</v>
      </c>
      <c r="K14" s="1124">
        <v>52919.18</v>
      </c>
      <c r="L14" s="1124">
        <v>0</v>
      </c>
      <c r="M14" s="1124">
        <v>0</v>
      </c>
    </row>
    <row r="15" spans="1:13">
      <c r="A15" s="702">
        <f t="shared" si="0"/>
        <v>6</v>
      </c>
      <c r="B15" s="717" t="s">
        <v>190</v>
      </c>
      <c r="C15" s="1124">
        <v>1291776798.8299999</v>
      </c>
      <c r="D15" s="1124">
        <v>34041525.869999997</v>
      </c>
      <c r="E15" s="1124">
        <v>963389640.44000006</v>
      </c>
      <c r="F15" s="1124">
        <v>0</v>
      </c>
      <c r="G15" s="1124">
        <v>1223397011.52</v>
      </c>
      <c r="H15" s="1124">
        <v>0</v>
      </c>
      <c r="I15" s="1124">
        <v>173948364.22000006</v>
      </c>
      <c r="J15" s="1124">
        <v>158819.18</v>
      </c>
      <c r="K15" s="1124">
        <v>52919.18</v>
      </c>
      <c r="L15" s="1124">
        <v>0</v>
      </c>
      <c r="M15" s="1124">
        <v>0</v>
      </c>
    </row>
    <row r="16" spans="1:13">
      <c r="A16" s="702">
        <f t="shared" si="0"/>
        <v>7</v>
      </c>
      <c r="B16" s="717" t="s">
        <v>384</v>
      </c>
      <c r="C16" s="1124">
        <v>1289530731.2000008</v>
      </c>
      <c r="D16" s="1124">
        <v>33047541.16</v>
      </c>
      <c r="E16" s="1124">
        <v>968090216.68000019</v>
      </c>
      <c r="F16" s="1124">
        <v>0</v>
      </c>
      <c r="G16" s="1124">
        <v>1229286001.1699998</v>
      </c>
      <c r="H16" s="1124">
        <v>0</v>
      </c>
      <c r="I16" s="1124">
        <v>172270719.10999998</v>
      </c>
      <c r="J16" s="1124">
        <v>158819.18</v>
      </c>
      <c r="K16" s="1124">
        <v>52919.18</v>
      </c>
      <c r="L16" s="1124">
        <v>0</v>
      </c>
      <c r="M16" s="1124">
        <v>0</v>
      </c>
    </row>
    <row r="17" spans="1:13">
      <c r="A17" s="702">
        <f t="shared" si="0"/>
        <v>8</v>
      </c>
      <c r="B17" s="717" t="s">
        <v>191</v>
      </c>
      <c r="C17" s="1124">
        <v>1289537935.1700001</v>
      </c>
      <c r="D17" s="1124">
        <v>33047541.16</v>
      </c>
      <c r="E17" s="1124">
        <v>971895448.3499999</v>
      </c>
      <c r="F17" s="1124">
        <v>0</v>
      </c>
      <c r="G17" s="1124">
        <v>1231965627.7700002</v>
      </c>
      <c r="H17" s="1124">
        <v>0</v>
      </c>
      <c r="I17" s="1124">
        <v>172678140.91</v>
      </c>
      <c r="J17" s="1124">
        <v>158819.18</v>
      </c>
      <c r="K17" s="1124">
        <v>52919.18</v>
      </c>
      <c r="L17" s="1124">
        <v>0</v>
      </c>
      <c r="M17" s="1124">
        <v>0</v>
      </c>
    </row>
    <row r="18" spans="1:13">
      <c r="A18" s="702">
        <f t="shared" si="0"/>
        <v>9</v>
      </c>
      <c r="B18" s="717" t="s">
        <v>635</v>
      </c>
      <c r="C18" s="1124">
        <v>1289152198.1000001</v>
      </c>
      <c r="D18" s="1124">
        <v>33047541.16</v>
      </c>
      <c r="E18" s="1124">
        <v>975482899.37000012</v>
      </c>
      <c r="F18" s="1124">
        <v>0</v>
      </c>
      <c r="G18" s="1124">
        <v>1235279981.0499995</v>
      </c>
      <c r="H18" s="1124">
        <v>0</v>
      </c>
      <c r="I18" s="1124">
        <v>173294612.44000006</v>
      </c>
      <c r="J18" s="1124">
        <v>158819.18</v>
      </c>
      <c r="K18" s="1124">
        <v>52919.18</v>
      </c>
      <c r="L18" s="1124">
        <v>0</v>
      </c>
      <c r="M18" s="1124">
        <v>0</v>
      </c>
    </row>
    <row r="19" spans="1:13">
      <c r="A19" s="702">
        <f t="shared" si="0"/>
        <v>10</v>
      </c>
      <c r="B19" s="717" t="s">
        <v>194</v>
      </c>
      <c r="C19" s="1124">
        <v>1289011377.9699998</v>
      </c>
      <c r="D19" s="1124">
        <v>33047541.16</v>
      </c>
      <c r="E19" s="1124">
        <v>978510480.54999995</v>
      </c>
      <c r="F19" s="1124">
        <v>0</v>
      </c>
      <c r="G19" s="1124">
        <v>1239545793.8</v>
      </c>
      <c r="H19" s="1124">
        <v>0</v>
      </c>
      <c r="I19" s="1124">
        <v>168604608.18000007</v>
      </c>
      <c r="J19" s="1124">
        <v>158819.18</v>
      </c>
      <c r="K19" s="1124">
        <v>52919.18</v>
      </c>
      <c r="L19" s="1124">
        <v>0</v>
      </c>
      <c r="M19" s="1124">
        <v>0</v>
      </c>
    </row>
    <row r="20" spans="1:13">
      <c r="A20" s="702">
        <f t="shared" si="0"/>
        <v>11</v>
      </c>
      <c r="B20" s="717" t="s">
        <v>562</v>
      </c>
      <c r="C20" s="1124">
        <v>1288983938.4600003</v>
      </c>
      <c r="D20" s="1124">
        <v>33047541.16</v>
      </c>
      <c r="E20" s="1124">
        <v>980181602.03999972</v>
      </c>
      <c r="F20" s="1124">
        <v>0</v>
      </c>
      <c r="G20" s="1124">
        <v>1245416672.0499997</v>
      </c>
      <c r="H20" s="1124">
        <v>0</v>
      </c>
      <c r="I20" s="1124">
        <v>168404807.89000005</v>
      </c>
      <c r="J20" s="1124">
        <v>158819.18</v>
      </c>
      <c r="K20" s="1124">
        <v>52919.18</v>
      </c>
      <c r="L20" s="1124">
        <v>0</v>
      </c>
      <c r="M20" s="1124">
        <v>0</v>
      </c>
    </row>
    <row r="21" spans="1:13">
      <c r="A21" s="702">
        <f t="shared" si="0"/>
        <v>12</v>
      </c>
      <c r="B21" s="717" t="s">
        <v>563</v>
      </c>
      <c r="C21" s="1124">
        <v>1292820647.3299999</v>
      </c>
      <c r="D21" s="1124">
        <v>33047541.16</v>
      </c>
      <c r="E21" s="1124">
        <v>989377046.37</v>
      </c>
      <c r="F21" s="1124">
        <v>0</v>
      </c>
      <c r="G21" s="1124">
        <v>1255057726.1400006</v>
      </c>
      <c r="H21" s="1124">
        <v>0</v>
      </c>
      <c r="I21" s="1124">
        <v>169166554.66000006</v>
      </c>
      <c r="J21" s="1124">
        <v>158819.18</v>
      </c>
      <c r="K21" s="1124">
        <v>52919.18</v>
      </c>
      <c r="L21" s="1124">
        <v>0</v>
      </c>
      <c r="M21" s="1124">
        <v>0</v>
      </c>
    </row>
    <row r="22" spans="1:13">
      <c r="A22" s="701">
        <f t="shared" si="0"/>
        <v>13</v>
      </c>
      <c r="B22" s="716" t="s">
        <v>634</v>
      </c>
      <c r="C22" s="1124">
        <v>1292554386.3300004</v>
      </c>
      <c r="D22" s="1124">
        <v>33047541.16</v>
      </c>
      <c r="E22" s="1124">
        <v>1016573575.79</v>
      </c>
      <c r="F22" s="1124">
        <v>0</v>
      </c>
      <c r="G22" s="1124">
        <v>1280623932.1399999</v>
      </c>
      <c r="H22" s="1124">
        <v>0</v>
      </c>
      <c r="I22" s="1124">
        <v>168455580.59999996</v>
      </c>
      <c r="J22" s="1124">
        <v>158819.18</v>
      </c>
      <c r="K22" s="1124">
        <v>52919.18</v>
      </c>
      <c r="L22" s="1124">
        <v>0</v>
      </c>
      <c r="M22" s="1124">
        <v>0</v>
      </c>
    </row>
    <row r="23" spans="1:13" ht="13.5" thickBot="1">
      <c r="A23" s="903">
        <f t="shared" si="0"/>
        <v>14</v>
      </c>
      <c r="B23" s="904" t="s">
        <v>863</v>
      </c>
      <c r="C23" s="1121">
        <f>SUM(C10:C22)/13</f>
        <v>1290747746.7092309</v>
      </c>
      <c r="D23" s="1121">
        <f>SUM(D10:D22)/13</f>
        <v>33506303.333846167</v>
      </c>
      <c r="E23" s="1121">
        <f t="shared" ref="E23:M23" si="1">SUM(E10:E22)/13</f>
        <v>971165269.80000007</v>
      </c>
      <c r="F23" s="1121">
        <f t="shared" si="1"/>
        <v>0</v>
      </c>
      <c r="G23" s="1121">
        <f t="shared" si="1"/>
        <v>1228649624.6623075</v>
      </c>
      <c r="H23" s="1121">
        <f t="shared" si="1"/>
        <v>0</v>
      </c>
      <c r="I23" s="1121">
        <f t="shared" si="1"/>
        <v>167875816.19538465</v>
      </c>
      <c r="J23" s="1121">
        <f t="shared" si="1"/>
        <v>158819.17999999996</v>
      </c>
      <c r="K23" s="1121">
        <f t="shared" si="1"/>
        <v>4423921.7984615378</v>
      </c>
      <c r="L23" s="1121">
        <f t="shared" si="1"/>
        <v>0</v>
      </c>
      <c r="M23" s="1122">
        <f t="shared" si="1"/>
        <v>0</v>
      </c>
    </row>
    <row r="24" spans="1:13" ht="13.5" thickTop="1">
      <c r="A24" s="81"/>
      <c r="B24" s="699"/>
      <c r="C24" s="713"/>
      <c r="D24" s="698"/>
      <c r="E24" s="698"/>
      <c r="F24" s="698"/>
      <c r="G24" s="713"/>
      <c r="H24" s="713"/>
      <c r="I24" s="713"/>
      <c r="J24" s="723"/>
      <c r="K24" s="1147"/>
    </row>
    <row r="25" spans="1:13" ht="12.75" customHeight="1">
      <c r="A25" s="81"/>
      <c r="B25" s="722"/>
      <c r="C25" s="1207" t="s">
        <v>659</v>
      </c>
      <c r="D25" s="1208"/>
      <c r="E25" s="1208"/>
      <c r="F25" s="1208"/>
      <c r="G25" s="1208"/>
      <c r="H25" s="1208"/>
      <c r="I25" s="1208"/>
      <c r="J25" s="1208"/>
      <c r="K25" s="1208"/>
      <c r="L25" s="1208"/>
      <c r="M25" s="1209"/>
    </row>
    <row r="26" spans="1:13" s="510" customFormat="1" ht="25.5">
      <c r="A26" s="721" t="s">
        <v>650</v>
      </c>
      <c r="B26" s="720" t="s">
        <v>649</v>
      </c>
      <c r="C26" s="708" t="s">
        <v>231</v>
      </c>
      <c r="D26" s="708" t="s">
        <v>658</v>
      </c>
      <c r="E26" s="708" t="s">
        <v>117</v>
      </c>
      <c r="F26" s="708" t="s">
        <v>657</v>
      </c>
      <c r="G26" s="708" t="s">
        <v>440</v>
      </c>
      <c r="H26" s="708" t="s">
        <v>656</v>
      </c>
      <c r="I26" s="708" t="s">
        <v>336</v>
      </c>
      <c r="J26" s="708" t="s">
        <v>655</v>
      </c>
      <c r="K26" s="708" t="s">
        <v>654</v>
      </c>
      <c r="L26" s="708" t="s">
        <v>1308</v>
      </c>
      <c r="M26" s="707" t="s">
        <v>1309</v>
      </c>
    </row>
    <row r="27" spans="1:13" s="703" customFormat="1">
      <c r="A27" s="702"/>
      <c r="B27" s="705" t="s">
        <v>644</v>
      </c>
      <c r="C27" s="704" t="s">
        <v>643</v>
      </c>
      <c r="D27" s="704" t="s">
        <v>642</v>
      </c>
      <c r="E27" s="704" t="s">
        <v>641</v>
      </c>
      <c r="F27" s="704" t="s">
        <v>640</v>
      </c>
      <c r="G27" s="704" t="s">
        <v>662</v>
      </c>
      <c r="H27" s="704" t="s">
        <v>663</v>
      </c>
      <c r="I27" s="704" t="s">
        <v>653</v>
      </c>
      <c r="J27" s="704" t="s">
        <v>652</v>
      </c>
      <c r="K27" s="1123" t="s">
        <v>651</v>
      </c>
      <c r="L27" s="704" t="s">
        <v>1310</v>
      </c>
      <c r="M27" s="705" t="s">
        <v>1311</v>
      </c>
    </row>
    <row r="28" spans="1:13" s="703" customFormat="1" ht="44.25" customHeight="1">
      <c r="A28" s="702"/>
      <c r="B28" s="705" t="s">
        <v>639</v>
      </c>
      <c r="C28" s="1118" t="s">
        <v>381</v>
      </c>
      <c r="D28" s="1118" t="s">
        <v>667</v>
      </c>
      <c r="E28" s="1118" t="s">
        <v>382</v>
      </c>
      <c r="F28" s="1118" t="s">
        <v>668</v>
      </c>
      <c r="G28" s="1118" t="s">
        <v>509</v>
      </c>
      <c r="H28" s="1118" t="s">
        <v>669</v>
      </c>
      <c r="I28" s="1118" t="s">
        <v>483</v>
      </c>
      <c r="J28" s="1118" t="s">
        <v>670</v>
      </c>
      <c r="K28" s="1118" t="s">
        <v>510</v>
      </c>
      <c r="L28" s="1118" t="s">
        <v>1314</v>
      </c>
      <c r="M28" s="1119" t="s">
        <v>669</v>
      </c>
    </row>
    <row r="29" spans="1:13">
      <c r="A29" s="702">
        <f>+A23+1</f>
        <v>15</v>
      </c>
      <c r="B29" s="718" t="s">
        <v>637</v>
      </c>
      <c r="C29" s="1124">
        <v>628328599.78000009</v>
      </c>
      <c r="D29" s="1124">
        <v>8180833.2599999998</v>
      </c>
      <c r="E29" s="1124">
        <v>300277760.81</v>
      </c>
      <c r="F29" s="1124">
        <v>0</v>
      </c>
      <c r="G29" s="1124">
        <v>373751180.50999999</v>
      </c>
      <c r="H29" s="1124">
        <v>0</v>
      </c>
      <c r="I29" s="1124">
        <v>33925637.829999998</v>
      </c>
      <c r="J29" s="1124">
        <v>107382.42</v>
      </c>
      <c r="K29" s="1124">
        <v>32172134.599999994</v>
      </c>
      <c r="L29" s="1124">
        <v>0</v>
      </c>
      <c r="M29" s="1124">
        <v>0</v>
      </c>
    </row>
    <row r="30" spans="1:13">
      <c r="A30" s="702">
        <f>+A29+1</f>
        <v>16</v>
      </c>
      <c r="B30" s="718" t="s">
        <v>187</v>
      </c>
      <c r="C30" s="1124">
        <v>631074835.99999988</v>
      </c>
      <c r="D30" s="1124">
        <v>8339177.7799999993</v>
      </c>
      <c r="E30" s="1124">
        <v>301325511.12</v>
      </c>
      <c r="F30" s="1124">
        <v>0</v>
      </c>
      <c r="G30" s="1124">
        <v>376105877.53999996</v>
      </c>
      <c r="H30" s="1124">
        <v>0</v>
      </c>
      <c r="I30" s="1124">
        <v>67316295</v>
      </c>
      <c r="J30" s="1124">
        <v>108238.32</v>
      </c>
      <c r="K30" s="1124">
        <v>59074</v>
      </c>
      <c r="L30" s="1124">
        <v>0</v>
      </c>
      <c r="M30" s="1124">
        <v>0</v>
      </c>
    </row>
    <row r="31" spans="1:13">
      <c r="A31" s="702">
        <f t="shared" ref="A31:A42" si="2">+A30+1</f>
        <v>17</v>
      </c>
      <c r="B31" s="717" t="s">
        <v>561</v>
      </c>
      <c r="C31" s="1124">
        <v>632919262.64999998</v>
      </c>
      <c r="D31" s="1124">
        <v>8497522.3299999982</v>
      </c>
      <c r="E31" s="1124">
        <v>302708825.30999994</v>
      </c>
      <c r="F31" s="1124">
        <v>0</v>
      </c>
      <c r="G31" s="1124">
        <v>379265653.70000005</v>
      </c>
      <c r="H31" s="1124">
        <v>0</v>
      </c>
      <c r="I31" s="1124">
        <v>67825066</v>
      </c>
      <c r="J31" s="1124">
        <v>109094.23</v>
      </c>
      <c r="K31" s="1124">
        <v>59074.04</v>
      </c>
      <c r="L31" s="1124">
        <v>0</v>
      </c>
      <c r="M31" s="1124">
        <v>0</v>
      </c>
    </row>
    <row r="32" spans="1:13">
      <c r="A32" s="702">
        <f t="shared" si="2"/>
        <v>18</v>
      </c>
      <c r="B32" s="717" t="s">
        <v>636</v>
      </c>
      <c r="C32" s="1124">
        <v>635124907.12</v>
      </c>
      <c r="D32" s="1124">
        <v>8655866.7599999998</v>
      </c>
      <c r="E32" s="1124">
        <v>304326395.98999995</v>
      </c>
      <c r="F32" s="1124">
        <v>0</v>
      </c>
      <c r="G32" s="1124">
        <v>381673004.50999999</v>
      </c>
      <c r="H32" s="1124">
        <v>0</v>
      </c>
      <c r="I32" s="1124">
        <v>66991115</v>
      </c>
      <c r="J32" s="1124">
        <v>109950.12</v>
      </c>
      <c r="K32" s="1124">
        <v>59074.04</v>
      </c>
      <c r="L32" s="1124">
        <v>0</v>
      </c>
      <c r="M32" s="1124">
        <v>0</v>
      </c>
    </row>
    <row r="33" spans="1:13">
      <c r="A33" s="702">
        <f t="shared" si="2"/>
        <v>19</v>
      </c>
      <c r="B33" s="717" t="s">
        <v>189</v>
      </c>
      <c r="C33" s="1124">
        <v>637164308.87</v>
      </c>
      <c r="D33" s="1124">
        <v>8814211.1999999993</v>
      </c>
      <c r="E33" s="1124">
        <v>306029424.18000001</v>
      </c>
      <c r="F33" s="1124">
        <v>0</v>
      </c>
      <c r="G33" s="1124">
        <v>384137918.05000007</v>
      </c>
      <c r="H33" s="1124">
        <v>0</v>
      </c>
      <c r="I33" s="1124">
        <v>68285487.640000001</v>
      </c>
      <c r="J33" s="1124">
        <v>110806.03</v>
      </c>
      <c r="K33" s="1124">
        <v>59074.04</v>
      </c>
      <c r="L33" s="1124">
        <v>0</v>
      </c>
      <c r="M33" s="1124">
        <v>0</v>
      </c>
    </row>
    <row r="34" spans="1:13">
      <c r="A34" s="702">
        <f t="shared" si="2"/>
        <v>20</v>
      </c>
      <c r="B34" s="717" t="s">
        <v>190</v>
      </c>
      <c r="C34" s="1124">
        <v>639835452.18000019</v>
      </c>
      <c r="D34" s="1124">
        <v>8972555.75</v>
      </c>
      <c r="E34" s="1124">
        <v>306706762.56</v>
      </c>
      <c r="F34" s="1124">
        <v>0</v>
      </c>
      <c r="G34" s="1124">
        <v>385879084.48000002</v>
      </c>
      <c r="H34" s="1124">
        <v>0</v>
      </c>
      <c r="I34" s="1124">
        <v>69582217.680000022</v>
      </c>
      <c r="J34" s="1124">
        <v>111661.92</v>
      </c>
      <c r="K34" s="1124">
        <v>59074.04</v>
      </c>
      <c r="L34" s="1124">
        <v>0</v>
      </c>
      <c r="M34" s="1124">
        <v>0</v>
      </c>
    </row>
    <row r="35" spans="1:13">
      <c r="A35" s="702">
        <f t="shared" si="2"/>
        <v>21</v>
      </c>
      <c r="B35" s="717" t="s">
        <v>384</v>
      </c>
      <c r="C35" s="1124">
        <v>639687572.68000019</v>
      </c>
      <c r="D35" s="1124">
        <v>9130900.370000001</v>
      </c>
      <c r="E35" s="1124">
        <v>307786174.22000003</v>
      </c>
      <c r="F35" s="1124">
        <v>0</v>
      </c>
      <c r="G35" s="1124">
        <v>387516845.29000008</v>
      </c>
      <c r="H35" s="1124">
        <v>0</v>
      </c>
      <c r="I35" s="1124">
        <v>68988056.930000022</v>
      </c>
      <c r="J35" s="1124">
        <v>112048.45</v>
      </c>
      <c r="K35" s="1124">
        <v>59074.18</v>
      </c>
      <c r="L35" s="1124">
        <v>0</v>
      </c>
      <c r="M35" s="1124">
        <v>0</v>
      </c>
    </row>
    <row r="36" spans="1:13">
      <c r="A36" s="702">
        <f t="shared" si="2"/>
        <v>22</v>
      </c>
      <c r="B36" s="717" t="s">
        <v>191</v>
      </c>
      <c r="C36" s="1124">
        <v>642579278.64000022</v>
      </c>
      <c r="D36" s="1124">
        <v>9283929.4800000004</v>
      </c>
      <c r="E36" s="1124">
        <v>309036165.88</v>
      </c>
      <c r="F36" s="1124">
        <v>0</v>
      </c>
      <c r="G36" s="1124">
        <v>388994504.88000011</v>
      </c>
      <c r="H36" s="1124">
        <v>0</v>
      </c>
      <c r="I36" s="1124">
        <v>70141312.530000001</v>
      </c>
      <c r="J36" s="1124">
        <v>112434.98</v>
      </c>
      <c r="K36" s="1124">
        <v>59074.18</v>
      </c>
      <c r="L36" s="1124">
        <v>0</v>
      </c>
      <c r="M36" s="1124">
        <v>0</v>
      </c>
    </row>
    <row r="37" spans="1:13">
      <c r="A37" s="702">
        <f t="shared" si="2"/>
        <v>23</v>
      </c>
      <c r="B37" s="717" t="s">
        <v>635</v>
      </c>
      <c r="C37" s="1124">
        <v>645109703.29999995</v>
      </c>
      <c r="D37" s="1124">
        <v>9436958.4699999988</v>
      </c>
      <c r="E37" s="1124">
        <v>309948963.68000001</v>
      </c>
      <c r="F37" s="1124">
        <v>0</v>
      </c>
      <c r="G37" s="1124">
        <v>391007617.93000013</v>
      </c>
      <c r="H37" s="1124">
        <v>0</v>
      </c>
      <c r="I37" s="1124">
        <v>71318929.109999985</v>
      </c>
      <c r="J37" s="1124">
        <v>112821.51000000001</v>
      </c>
      <c r="K37" s="1124">
        <v>59074.18</v>
      </c>
      <c r="L37" s="1124">
        <v>0</v>
      </c>
      <c r="M37" s="1124">
        <v>0</v>
      </c>
    </row>
    <row r="38" spans="1:13">
      <c r="A38" s="702">
        <f t="shared" si="2"/>
        <v>24</v>
      </c>
      <c r="B38" s="717" t="s">
        <v>194</v>
      </c>
      <c r="C38" s="1124">
        <v>647583357.38999999</v>
      </c>
      <c r="D38" s="1124">
        <v>9589987.4400000013</v>
      </c>
      <c r="E38" s="1124">
        <v>311996004.21000004</v>
      </c>
      <c r="F38" s="1124">
        <v>0</v>
      </c>
      <c r="G38" s="1124">
        <v>392770795.95999998</v>
      </c>
      <c r="H38" s="1124">
        <v>0</v>
      </c>
      <c r="I38" s="1124">
        <v>67366748.839999974</v>
      </c>
      <c r="J38" s="1124">
        <v>113208.04000000001</v>
      </c>
      <c r="K38" s="1124">
        <v>59074.18</v>
      </c>
      <c r="L38" s="1124">
        <v>0</v>
      </c>
      <c r="M38" s="1124">
        <v>0</v>
      </c>
    </row>
    <row r="39" spans="1:13">
      <c r="A39" s="702">
        <f t="shared" si="2"/>
        <v>25</v>
      </c>
      <c r="B39" s="717" t="s">
        <v>562</v>
      </c>
      <c r="C39" s="1124">
        <v>649888036.32999992</v>
      </c>
      <c r="D39" s="1124">
        <v>9743016.620000001</v>
      </c>
      <c r="E39" s="1124">
        <v>308554767.65000004</v>
      </c>
      <c r="F39" s="1124">
        <v>0</v>
      </c>
      <c r="G39" s="1124">
        <v>394484029.6500001</v>
      </c>
      <c r="H39" s="1124">
        <v>0</v>
      </c>
      <c r="I39" s="1124">
        <v>68070358.450000003</v>
      </c>
      <c r="J39" s="1124">
        <v>113594.58</v>
      </c>
      <c r="K39" s="1124">
        <v>59074.18</v>
      </c>
      <c r="L39" s="1124">
        <v>0</v>
      </c>
      <c r="M39" s="1124">
        <v>0</v>
      </c>
    </row>
    <row r="40" spans="1:13">
      <c r="A40" s="702">
        <f t="shared" si="2"/>
        <v>26</v>
      </c>
      <c r="B40" s="717" t="s">
        <v>563</v>
      </c>
      <c r="C40" s="1124">
        <v>652550179.43999982</v>
      </c>
      <c r="D40" s="1124">
        <v>9896045.620000001</v>
      </c>
      <c r="E40" s="1124">
        <v>306684103.82999998</v>
      </c>
      <c r="F40" s="1124">
        <v>0</v>
      </c>
      <c r="G40" s="1124">
        <v>395853287.16000009</v>
      </c>
      <c r="H40" s="1124">
        <v>0</v>
      </c>
      <c r="I40" s="1124">
        <v>69210430.530000001</v>
      </c>
      <c r="J40" s="1124">
        <v>113981.12</v>
      </c>
      <c r="K40" s="1124">
        <v>59074.18</v>
      </c>
      <c r="L40" s="1124">
        <v>0</v>
      </c>
      <c r="M40" s="1124">
        <v>0</v>
      </c>
    </row>
    <row r="41" spans="1:13">
      <c r="A41" s="701">
        <f t="shared" si="2"/>
        <v>27</v>
      </c>
      <c r="B41" s="716" t="s">
        <v>634</v>
      </c>
      <c r="C41" s="1124">
        <v>654204313.80000019</v>
      </c>
      <c r="D41" s="1124">
        <v>10049074.66</v>
      </c>
      <c r="E41" s="1124">
        <v>305069220.10999995</v>
      </c>
      <c r="F41" s="1124">
        <v>0</v>
      </c>
      <c r="G41" s="1124">
        <v>396626355.50000012</v>
      </c>
      <c r="H41" s="1124">
        <v>0</v>
      </c>
      <c r="I41" s="1124">
        <v>67132217.599999994</v>
      </c>
      <c r="J41" s="1124">
        <v>114367.66</v>
      </c>
      <c r="K41" s="1124">
        <v>59074.18</v>
      </c>
      <c r="L41" s="1124">
        <v>0</v>
      </c>
      <c r="M41" s="1124">
        <v>0</v>
      </c>
    </row>
    <row r="42" spans="1:13" ht="13.5" thickBot="1">
      <c r="A42" s="715">
        <f t="shared" si="2"/>
        <v>28</v>
      </c>
      <c r="B42" s="904" t="s">
        <v>863</v>
      </c>
      <c r="C42" s="1121">
        <f>SUM(C29:C41)/13</f>
        <v>641234600.62923074</v>
      </c>
      <c r="D42" s="1121">
        <f t="shared" ref="D42:M42" si="3">SUM(D29:D41)/13</f>
        <v>9122313.8261538465</v>
      </c>
      <c r="E42" s="1121">
        <f t="shared" si="3"/>
        <v>306188467.65769231</v>
      </c>
      <c r="F42" s="1121">
        <f t="shared" si="3"/>
        <v>0</v>
      </c>
      <c r="G42" s="1121">
        <f t="shared" si="3"/>
        <v>386774319.62769234</v>
      </c>
      <c r="H42" s="1121">
        <f t="shared" si="3"/>
        <v>0</v>
      </c>
      <c r="I42" s="1121">
        <f t="shared" si="3"/>
        <v>65857990.241538458</v>
      </c>
      <c r="J42" s="1121">
        <f t="shared" si="3"/>
        <v>111506.8753846154</v>
      </c>
      <c r="K42" s="1121">
        <f t="shared" si="3"/>
        <v>2529309.5399999991</v>
      </c>
      <c r="L42" s="1121">
        <f t="shared" si="3"/>
        <v>0</v>
      </c>
      <c r="M42" s="1122">
        <f t="shared" si="3"/>
        <v>0</v>
      </c>
    </row>
    <row r="43" spans="1:13" ht="13.5" thickTop="1">
      <c r="A43" s="81"/>
      <c r="B43" s="699"/>
      <c r="C43" s="713"/>
      <c r="D43" s="698"/>
      <c r="E43" s="698"/>
      <c r="F43" s="698"/>
      <c r="G43" s="713"/>
      <c r="H43"/>
      <c r="I43"/>
      <c r="J43"/>
      <c r="K43"/>
    </row>
    <row r="44" spans="1:13">
      <c r="A44" s="81"/>
      <c r="B44" s="699"/>
      <c r="C44" s="713"/>
      <c r="D44" s="698"/>
      <c r="E44" s="698"/>
      <c r="F44" s="698"/>
      <c r="G44" s="713"/>
      <c r="H44" s="713"/>
      <c r="I44" s="713"/>
    </row>
    <row r="45" spans="1:13">
      <c r="A45" s="712"/>
      <c r="B45" s="711"/>
      <c r="C45" s="1136"/>
      <c r="D45" s="1125"/>
      <c r="E45" s="1125"/>
      <c r="F45" s="1125"/>
      <c r="G45" s="1125"/>
      <c r="H45" s="1126"/>
      <c r="I45"/>
      <c r="J45"/>
      <c r="K45"/>
    </row>
    <row r="46" spans="1:13" ht="72" customHeight="1">
      <c r="A46" s="710" t="s">
        <v>650</v>
      </c>
      <c r="B46" s="704" t="s">
        <v>649</v>
      </c>
      <c r="C46" s="709" t="s">
        <v>648</v>
      </c>
      <c r="D46" s="708" t="s">
        <v>647</v>
      </c>
      <c r="E46" s="708" t="s">
        <v>646</v>
      </c>
      <c r="F46" s="708" t="s">
        <v>645</v>
      </c>
      <c r="G46" s="708" t="s">
        <v>1315</v>
      </c>
      <c r="H46" s="707" t="s">
        <v>1316</v>
      </c>
      <c r="I46"/>
      <c r="J46"/>
      <c r="K46"/>
    </row>
    <row r="47" spans="1:13" s="703" customFormat="1">
      <c r="A47" s="702"/>
      <c r="B47" s="704" t="s">
        <v>644</v>
      </c>
      <c r="C47" s="706" t="s">
        <v>643</v>
      </c>
      <c r="D47" s="704" t="s">
        <v>642</v>
      </c>
      <c r="E47" s="704" t="s">
        <v>641</v>
      </c>
      <c r="F47" s="704" t="s">
        <v>640</v>
      </c>
      <c r="G47" s="704" t="s">
        <v>662</v>
      </c>
      <c r="H47" s="705" t="s">
        <v>663</v>
      </c>
      <c r="I47"/>
      <c r="J47"/>
      <c r="K47"/>
      <c r="L47" s="4"/>
    </row>
    <row r="48" spans="1:13" s="703" customFormat="1" ht="63.75">
      <c r="A48" s="702"/>
      <c r="B48" s="704" t="s">
        <v>639</v>
      </c>
      <c r="C48" s="1137" t="s">
        <v>671</v>
      </c>
      <c r="D48" s="1127" t="s">
        <v>672</v>
      </c>
      <c r="E48" s="1127" t="s">
        <v>638</v>
      </c>
      <c r="F48" s="1127" t="s">
        <v>638</v>
      </c>
      <c r="G48" s="1127" t="s">
        <v>638</v>
      </c>
      <c r="H48" s="1128" t="s">
        <v>638</v>
      </c>
      <c r="I48"/>
      <c r="J48"/>
      <c r="K48"/>
      <c r="L48" s="4"/>
    </row>
    <row r="49" spans="1:11">
      <c r="A49" s="702">
        <f>+A42+1</f>
        <v>29</v>
      </c>
      <c r="B49" s="718" t="s">
        <v>637</v>
      </c>
      <c r="C49" s="1124">
        <v>12988637.07</v>
      </c>
      <c r="D49" s="1124">
        <v>6770270.4800000004</v>
      </c>
      <c r="E49" s="1124">
        <v>0</v>
      </c>
      <c r="F49" s="1124">
        <v>0</v>
      </c>
      <c r="G49" s="1129"/>
      <c r="H49" s="1130"/>
      <c r="I49"/>
      <c r="J49"/>
      <c r="K49"/>
    </row>
    <row r="50" spans="1:11">
      <c r="A50" s="702">
        <f>+A49+1</f>
        <v>30</v>
      </c>
      <c r="B50" s="718" t="s">
        <v>187</v>
      </c>
      <c r="C50" s="1124">
        <v>12988637.07</v>
      </c>
      <c r="D50" s="1124">
        <v>6793537.0200000005</v>
      </c>
      <c r="E50" s="1124">
        <v>0</v>
      </c>
      <c r="F50" s="1124">
        <v>0</v>
      </c>
      <c r="G50" s="1129"/>
      <c r="H50" s="1120"/>
      <c r="I50"/>
      <c r="J50"/>
      <c r="K50"/>
    </row>
    <row r="51" spans="1:11">
      <c r="A51" s="702">
        <f t="shared" ref="A51:A62" si="4">+A50+1</f>
        <v>31</v>
      </c>
      <c r="B51" s="717" t="s">
        <v>561</v>
      </c>
      <c r="C51" s="1124">
        <v>12988637.07</v>
      </c>
      <c r="D51" s="1124">
        <v>6816803.5300000003</v>
      </c>
      <c r="E51" s="1124">
        <v>0</v>
      </c>
      <c r="F51" s="1124">
        <v>0</v>
      </c>
      <c r="G51" s="1131"/>
      <c r="H51" s="1132"/>
      <c r="I51"/>
      <c r="J51"/>
      <c r="K51"/>
    </row>
    <row r="52" spans="1:11">
      <c r="A52" s="702">
        <f t="shared" si="4"/>
        <v>32</v>
      </c>
      <c r="B52" s="717" t="s">
        <v>636</v>
      </c>
      <c r="C52" s="1124">
        <v>12988637.07</v>
      </c>
      <c r="D52" s="1124">
        <v>6840070.0600000005</v>
      </c>
      <c r="E52" s="1124">
        <v>0</v>
      </c>
      <c r="F52" s="1124">
        <v>0</v>
      </c>
      <c r="G52" s="1131"/>
      <c r="H52" s="1132"/>
      <c r="I52"/>
      <c r="J52"/>
      <c r="K52"/>
    </row>
    <row r="53" spans="1:11">
      <c r="A53" s="702">
        <f t="shared" si="4"/>
        <v>33</v>
      </c>
      <c r="B53" s="717" t="s">
        <v>189</v>
      </c>
      <c r="C53" s="1124">
        <v>12988637.07</v>
      </c>
      <c r="D53" s="1124">
        <v>6863336.6200000001</v>
      </c>
      <c r="E53" s="1124">
        <v>0</v>
      </c>
      <c r="F53" s="1124">
        <v>0</v>
      </c>
      <c r="G53" s="1131"/>
      <c r="H53" s="1132"/>
      <c r="I53"/>
      <c r="J53"/>
      <c r="K53"/>
    </row>
    <row r="54" spans="1:11">
      <c r="A54" s="702">
        <f t="shared" si="4"/>
        <v>34</v>
      </c>
      <c r="B54" s="717" t="s">
        <v>190</v>
      </c>
      <c r="C54" s="1124">
        <v>12988637.07</v>
      </c>
      <c r="D54" s="1124">
        <v>6886603.1600000001</v>
      </c>
      <c r="E54" s="1124">
        <v>0</v>
      </c>
      <c r="F54" s="1124">
        <v>0</v>
      </c>
      <c r="G54" s="1131"/>
      <c r="H54" s="1132"/>
      <c r="I54"/>
      <c r="J54"/>
      <c r="K54"/>
    </row>
    <row r="55" spans="1:11">
      <c r="A55" s="702">
        <f t="shared" si="4"/>
        <v>35</v>
      </c>
      <c r="B55" s="717" t="s">
        <v>384</v>
      </c>
      <c r="C55" s="1124">
        <v>12988636.789999999</v>
      </c>
      <c r="D55" s="1124">
        <v>6909869.3799999999</v>
      </c>
      <c r="E55" s="1124">
        <v>0</v>
      </c>
      <c r="F55" s="1124">
        <v>0</v>
      </c>
      <c r="G55" s="1131"/>
      <c r="H55" s="1132"/>
      <c r="I55"/>
      <c r="J55"/>
      <c r="K55"/>
    </row>
    <row r="56" spans="1:11">
      <c r="A56" s="702">
        <f t="shared" si="4"/>
        <v>36</v>
      </c>
      <c r="B56" s="717" t="s">
        <v>191</v>
      </c>
      <c r="C56" s="1124">
        <v>12988636.789999999</v>
      </c>
      <c r="D56" s="1124">
        <v>6933135.9199999999</v>
      </c>
      <c r="E56" s="1124">
        <v>0</v>
      </c>
      <c r="F56" s="1124">
        <v>0</v>
      </c>
      <c r="G56" s="1131"/>
      <c r="H56" s="1132"/>
      <c r="I56"/>
      <c r="J56"/>
      <c r="K56"/>
    </row>
    <row r="57" spans="1:11">
      <c r="A57" s="702">
        <f t="shared" si="4"/>
        <v>37</v>
      </c>
      <c r="B57" s="717" t="s">
        <v>635</v>
      </c>
      <c r="C57" s="1124">
        <v>12988636.789999999</v>
      </c>
      <c r="D57" s="1124">
        <v>6956402.4600000009</v>
      </c>
      <c r="E57" s="1124">
        <v>0</v>
      </c>
      <c r="F57" s="1124">
        <v>0</v>
      </c>
      <c r="G57" s="1131"/>
      <c r="H57" s="1132"/>
      <c r="I57"/>
      <c r="J57"/>
      <c r="K57"/>
    </row>
    <row r="58" spans="1:11">
      <c r="A58" s="702">
        <f t="shared" si="4"/>
        <v>38</v>
      </c>
      <c r="B58" s="717" t="s">
        <v>194</v>
      </c>
      <c r="C58" s="1124">
        <v>12988636.789999999</v>
      </c>
      <c r="D58" s="1124">
        <v>6983157.1100000003</v>
      </c>
      <c r="E58" s="1124">
        <v>0</v>
      </c>
      <c r="F58" s="1124">
        <v>0</v>
      </c>
      <c r="G58" s="1131"/>
      <c r="H58" s="1132"/>
      <c r="I58"/>
      <c r="J58"/>
      <c r="K58"/>
    </row>
    <row r="59" spans="1:11">
      <c r="A59" s="702">
        <f t="shared" si="4"/>
        <v>39</v>
      </c>
      <c r="B59" s="717" t="s">
        <v>562</v>
      </c>
      <c r="C59" s="1124">
        <v>12988636.789999999</v>
      </c>
      <c r="D59" s="1124">
        <v>7006423.6400000006</v>
      </c>
      <c r="E59" s="1124">
        <v>0</v>
      </c>
      <c r="F59" s="1124">
        <v>0</v>
      </c>
      <c r="G59" s="1131"/>
      <c r="H59" s="1132"/>
      <c r="I59"/>
      <c r="J59"/>
      <c r="K59"/>
    </row>
    <row r="60" spans="1:11">
      <c r="A60" s="702">
        <f t="shared" si="4"/>
        <v>40</v>
      </c>
      <c r="B60" s="717" t="s">
        <v>563</v>
      </c>
      <c r="C60" s="1124">
        <v>12988636.789999999</v>
      </c>
      <c r="D60" s="1124">
        <v>7029690.1600000001</v>
      </c>
      <c r="E60" s="1124">
        <v>0</v>
      </c>
      <c r="F60" s="1124">
        <v>0</v>
      </c>
      <c r="G60" s="1131"/>
      <c r="H60" s="1132"/>
      <c r="I60"/>
      <c r="J60"/>
      <c r="K60"/>
    </row>
    <row r="61" spans="1:11">
      <c r="A61" s="701">
        <f t="shared" si="4"/>
        <v>41</v>
      </c>
      <c r="B61" s="716" t="s">
        <v>634</v>
      </c>
      <c r="C61" s="1124">
        <v>12988636.789999999</v>
      </c>
      <c r="D61" s="1124">
        <v>7052956.71</v>
      </c>
      <c r="E61" s="1124">
        <v>0</v>
      </c>
      <c r="F61" s="1124">
        <v>0</v>
      </c>
      <c r="G61" s="1131"/>
      <c r="H61" s="1133"/>
      <c r="I61"/>
      <c r="J61"/>
      <c r="K61"/>
    </row>
    <row r="62" spans="1:11" ht="13.5" thickBot="1">
      <c r="A62" s="700">
        <f t="shared" si="4"/>
        <v>42</v>
      </c>
      <c r="B62" s="904" t="s">
        <v>863</v>
      </c>
      <c r="C62" s="1121">
        <f>SUM(C49:C61)/13</f>
        <v>12988636.919230767</v>
      </c>
      <c r="D62" s="1121">
        <f>SUM(D49:D61)/13</f>
        <v>6910942.788461538</v>
      </c>
      <c r="E62" s="1121">
        <f>SUM(E49:E61)/13</f>
        <v>0</v>
      </c>
      <c r="F62" s="1121">
        <f>SUM(F49:F61)/13</f>
        <v>0</v>
      </c>
      <c r="G62" s="1134">
        <f t="shared" ref="G62:H62" si="5">SUM(G49:G61)/13</f>
        <v>0</v>
      </c>
      <c r="H62" s="1135">
        <f t="shared" si="5"/>
        <v>0</v>
      </c>
      <c r="I62"/>
      <c r="J62"/>
      <c r="K62"/>
    </row>
    <row r="63" spans="1:11" ht="13.5" thickTop="1">
      <c r="A63" s="81"/>
      <c r="B63" s="699"/>
      <c r="G63"/>
      <c r="H63"/>
      <c r="I63"/>
      <c r="J63"/>
      <c r="K63"/>
    </row>
    <row r="64" spans="1:11">
      <c r="A64" s="81">
        <v>43</v>
      </c>
      <c r="B64" s="699" t="s">
        <v>633</v>
      </c>
      <c r="D64" s="491">
        <f>+E42-D62</f>
        <v>299277524.86923075</v>
      </c>
      <c r="I64" s="698"/>
    </row>
    <row r="65" spans="1:7" customFormat="1"/>
    <row r="66" spans="1:7" customFormat="1">
      <c r="A66" s="697"/>
      <c r="B66" s="237"/>
      <c r="C66" s="238"/>
      <c r="D66" s="239"/>
      <c r="E66" s="59"/>
      <c r="F66" s="59"/>
      <c r="G66" s="69"/>
    </row>
    <row r="67" spans="1:7" customFormat="1" ht="25.5">
      <c r="A67" s="728" t="s">
        <v>3</v>
      </c>
      <c r="B67" s="237"/>
      <c r="C67" s="725" t="s">
        <v>2</v>
      </c>
      <c r="D67" s="726" t="str">
        <f>"Balance @ December 31, "&amp;TCOS!L4&amp;""</f>
        <v>Balance @ December 31, 2025</v>
      </c>
      <c r="E67" s="727" t="str">
        <f>"Balance @ December 31, "&amp;TCOS!L4-1&amp;""</f>
        <v>Balance @ December 31, 2024</v>
      </c>
      <c r="F67" s="727" t="str">
        <f>"Average Balance for "&amp;TCOS!L4&amp;""</f>
        <v>Average Balance for 2025</v>
      </c>
      <c r="G67" s="69"/>
    </row>
    <row r="68" spans="1:7" customFormat="1">
      <c r="A68" s="74"/>
      <c r="B68" s="704" t="s">
        <v>644</v>
      </c>
      <c r="C68" s="704" t="s">
        <v>643</v>
      </c>
      <c r="D68" s="704" t="s">
        <v>642</v>
      </c>
      <c r="E68" s="704" t="s">
        <v>641</v>
      </c>
      <c r="F68" s="704" t="s">
        <v>640</v>
      </c>
      <c r="G68" s="69"/>
    </row>
    <row r="69" spans="1:7" customFormat="1">
      <c r="A69" s="237">
        <f>+A64+1</f>
        <v>44</v>
      </c>
      <c r="B69" s="74" t="s">
        <v>3</v>
      </c>
      <c r="C69" s="240" t="s">
        <v>376</v>
      </c>
      <c r="D69" s="645">
        <v>801671.21</v>
      </c>
      <c r="E69" s="645">
        <v>801671.21</v>
      </c>
      <c r="F69" s="111">
        <f>IF(E69="",0,AVERAGE(D69:E69))</f>
        <v>801671.21</v>
      </c>
    </row>
    <row r="70" spans="1:7" customFormat="1">
      <c r="A70" s="236"/>
      <c r="B70" s="241"/>
      <c r="C70" s="241"/>
      <c r="F70" s="69"/>
    </row>
    <row r="71" spans="1:7" customFormat="1">
      <c r="A71" s="235">
        <f>+A69+1</f>
        <v>45</v>
      </c>
      <c r="B71" s="74" t="s">
        <v>825</v>
      </c>
      <c r="C71" s="252" t="s">
        <v>68</v>
      </c>
      <c r="D71" s="645">
        <v>0</v>
      </c>
      <c r="E71" s="645">
        <v>0</v>
      </c>
      <c r="F71" s="111">
        <f>IF(E71="",0,AVERAGE(D71:E71))</f>
        <v>0</v>
      </c>
    </row>
    <row r="72" spans="1:7" customFormat="1">
      <c r="A72" s="72"/>
      <c r="B72" s="72"/>
      <c r="C72" s="72"/>
      <c r="D72" s="72"/>
    </row>
    <row r="73" spans="1:7" customFormat="1">
      <c r="A73" s="74" t="s">
        <v>238</v>
      </c>
      <c r="B73" s="72"/>
      <c r="C73" s="72"/>
      <c r="D73" s="72"/>
    </row>
    <row r="74" spans="1:7" customFormat="1">
      <c r="A74" s="239"/>
      <c r="B74" s="239" t="s">
        <v>362</v>
      </c>
      <c r="C74" s="239"/>
      <c r="D74" s="57"/>
      <c r="E74" s="57"/>
      <c r="F74" s="57"/>
    </row>
    <row r="75" spans="1:7" customFormat="1">
      <c r="A75" s="237">
        <f>+A71+1</f>
        <v>46</v>
      </c>
      <c r="B75" s="646"/>
      <c r="C75" s="646"/>
      <c r="D75" s="645"/>
      <c r="E75" s="645"/>
      <c r="F75" s="111">
        <f>IF(E75="",0,AVERAGE(D75:E75))</f>
        <v>0</v>
      </c>
    </row>
    <row r="76" spans="1:7" customFormat="1">
      <c r="A76" s="237">
        <f>+A75+1</f>
        <v>47</v>
      </c>
      <c r="B76" s="646"/>
      <c r="C76" s="646"/>
      <c r="D76" s="645"/>
      <c r="E76" s="645"/>
      <c r="F76" s="111">
        <f>IF(E76="",0,AVERAGE(D76:E76))</f>
        <v>0</v>
      </c>
    </row>
    <row r="77" spans="1:7" customFormat="1">
      <c r="A77" s="237">
        <f>+A76+1</f>
        <v>48</v>
      </c>
      <c r="B77" s="646"/>
      <c r="C77" s="646"/>
      <c r="D77" s="645"/>
      <c r="E77" s="645"/>
      <c r="F77" s="111">
        <f>IF(E77="",0,AVERAGE(D77:E77))</f>
        <v>0</v>
      </c>
    </row>
    <row r="78" spans="1:7" customFormat="1">
      <c r="A78" s="237">
        <f>+A77+1</f>
        <v>49</v>
      </c>
      <c r="B78" s="646"/>
      <c r="C78" s="646"/>
      <c r="D78" s="645"/>
      <c r="E78" s="645"/>
      <c r="F78" s="111">
        <f>IF(E78="",0,AVERAGE(D78:E78))</f>
        <v>0</v>
      </c>
    </row>
    <row r="79" spans="1:7" customFormat="1">
      <c r="A79" s="237">
        <f>+A78+1</f>
        <v>50</v>
      </c>
      <c r="B79" s="646"/>
      <c r="C79" s="646"/>
      <c r="D79" s="647"/>
      <c r="E79" s="647"/>
      <c r="F79" s="729">
        <f>IF(E79="",0,AVERAGE(D79:E79))</f>
        <v>0</v>
      </c>
    </row>
    <row r="80" spans="1:7" customFormat="1">
      <c r="A80" s="237">
        <f>+A79+1</f>
        <v>51</v>
      </c>
      <c r="B80" s="239" t="s">
        <v>499</v>
      </c>
      <c r="C80" s="239"/>
      <c r="D80" s="150">
        <f>SUM(D75:D79)</f>
        <v>0</v>
      </c>
      <c r="E80" s="150">
        <f>SUM(E75:E79)</f>
        <v>0</v>
      </c>
      <c r="F80" s="150">
        <f>SUM(F75:F79)</f>
        <v>0</v>
      </c>
    </row>
    <row r="81" spans="1:7" customFormat="1">
      <c r="A81" s="237"/>
      <c r="B81" s="239"/>
      <c r="C81" s="239"/>
      <c r="D81" s="150"/>
      <c r="E81" s="150"/>
      <c r="F81" s="150"/>
    </row>
    <row r="82" spans="1:7" customFormat="1" ht="18">
      <c r="A82" s="74" t="s">
        <v>756</v>
      </c>
      <c r="B82" s="694"/>
      <c r="C82" s="694"/>
      <c r="D82" s="694"/>
      <c r="E82" s="57"/>
      <c r="F82" s="57"/>
      <c r="G82" s="57"/>
    </row>
    <row r="83" spans="1:7" customFormat="1">
      <c r="A83" s="58"/>
      <c r="B83" s="202"/>
      <c r="C83" s="205"/>
      <c r="D83" s="5"/>
      <c r="E83" s="57"/>
      <c r="F83" s="57"/>
      <c r="G83" s="57"/>
    </row>
    <row r="84" spans="1:7" customFormat="1">
      <c r="A84" s="58">
        <f>+A80+1</f>
        <v>52</v>
      </c>
      <c r="B84" s="9" t="s">
        <v>169</v>
      </c>
      <c r="C84" s="9" t="s">
        <v>308</v>
      </c>
      <c r="D84" s="4"/>
      <c r="F84" s="9"/>
    </row>
    <row r="85" spans="1:7" customFormat="1" ht="14.25">
      <c r="A85" s="81" t="s">
        <v>749</v>
      </c>
      <c r="B85" s="847" t="s">
        <v>868</v>
      </c>
      <c r="C85" s="965" t="s">
        <v>1036</v>
      </c>
      <c r="D85" s="645">
        <v>120946.96</v>
      </c>
      <c r="E85" s="645">
        <v>141181.68</v>
      </c>
      <c r="F85" s="730">
        <f>IF(E85="",0,AVERAGE(D85:E85))</f>
        <v>131064.32000000001</v>
      </c>
    </row>
    <row r="86" spans="1:7" customFormat="1" ht="14.25">
      <c r="A86" s="81" t="s">
        <v>750</v>
      </c>
      <c r="B86" s="847" t="s">
        <v>1053</v>
      </c>
      <c r="C86" s="965" t="s">
        <v>1055</v>
      </c>
      <c r="D86" s="645">
        <v>173644.13</v>
      </c>
      <c r="E86" s="645">
        <v>163541.28</v>
      </c>
      <c r="F86" s="730">
        <f>IF(E86="",0,AVERAGE(D86:E86))</f>
        <v>168592.70500000002</v>
      </c>
    </row>
    <row r="87" spans="1:7" customFormat="1" ht="14.25">
      <c r="A87" s="1031" t="s">
        <v>1052</v>
      </c>
      <c r="B87" s="847" t="s">
        <v>1054</v>
      </c>
      <c r="C87" s="848" t="s">
        <v>1056</v>
      </c>
      <c r="D87" s="647">
        <v>1103202.76</v>
      </c>
      <c r="E87" s="647">
        <v>1043369.46</v>
      </c>
      <c r="F87" s="731">
        <f>IF(E87="",0,AVERAGE(D87:E87))</f>
        <v>1073286.1099999999</v>
      </c>
    </row>
    <row r="88" spans="1:7" customFormat="1" ht="18" customHeight="1">
      <c r="A88" s="1">
        <v>54</v>
      </c>
      <c r="C88" s="4" t="s">
        <v>120</v>
      </c>
      <c r="D88" s="491">
        <f>SUM(D85:D87)</f>
        <v>1397793.85</v>
      </c>
      <c r="E88" s="491">
        <f>SUM(E85:E87)</f>
        <v>1348092.42</v>
      </c>
      <c r="F88" s="491">
        <f>SUM(F85:F87)</f>
        <v>1372943.1349999998</v>
      </c>
    </row>
    <row r="89" spans="1:7" customFormat="1">
      <c r="A89" s="237"/>
      <c r="B89" s="239"/>
      <c r="C89" s="239"/>
      <c r="D89" s="239"/>
    </row>
    <row r="90" spans="1:7">
      <c r="A90" s="59" t="s">
        <v>675</v>
      </c>
      <c r="B90" s="239"/>
      <c r="C90" s="239"/>
      <c r="D90" s="239"/>
    </row>
    <row r="91" spans="1:7">
      <c r="A91" s="59" t="s">
        <v>674</v>
      </c>
      <c r="B91" s="239"/>
      <c r="C91" s="239"/>
      <c r="D91" s="239"/>
    </row>
    <row r="92" spans="1:7">
      <c r="A92"/>
      <c r="B92"/>
      <c r="C92"/>
      <c r="D92"/>
    </row>
  </sheetData>
  <mergeCells count="6">
    <mergeCell ref="C25:M25"/>
    <mergeCell ref="A1:G1"/>
    <mergeCell ref="A2:G2"/>
    <mergeCell ref="A3:G3"/>
    <mergeCell ref="A4:G4"/>
    <mergeCell ref="C6:M6"/>
  </mergeCells>
  <pageMargins left="0.7" right="0.7" top="0.75" bottom="0.75" header="0.3" footer="0.3"/>
  <pageSetup scale="41"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U34"/>
  <sheetViews>
    <sheetView tabSelected="1" view="pageBreakPreview" zoomScale="80" zoomScaleNormal="100" zoomScaleSheetLayoutView="80" workbookViewId="0">
      <selection activeCell="D9" sqref="D9"/>
    </sheetView>
  </sheetViews>
  <sheetFormatPr defaultRowHeight="12.75"/>
  <cols>
    <col min="2" max="2" width="11.85546875" customWidth="1"/>
    <col min="3" max="3" width="1" customWidth="1"/>
    <col min="8" max="8" width="1.5703125" customWidth="1"/>
    <col min="9" max="9" width="9.85546875" customWidth="1"/>
    <col min="10" max="10" width="1.5703125" customWidth="1"/>
    <col min="11" max="11" width="12.5703125" customWidth="1"/>
    <col min="12" max="12" width="1.5703125" customWidth="1"/>
    <col min="13" max="13" width="13.5703125" customWidth="1"/>
    <col min="14" max="14" width="1.140625" customWidth="1"/>
    <col min="15" max="15" width="14.85546875" customWidth="1"/>
    <col min="16" max="16" width="2.5703125" customWidth="1"/>
    <col min="17" max="17" width="12.5703125" customWidth="1"/>
    <col min="18" max="18" width="1.85546875" customWidth="1"/>
    <col min="19" max="19" width="17.5703125" customWidth="1"/>
    <col min="20" max="20" width="1.85546875" customWidth="1"/>
    <col min="21" max="21" width="10.42578125" customWidth="1"/>
  </cols>
  <sheetData>
    <row r="1" spans="1:21" ht="15.75">
      <c r="A1" s="693" t="s">
        <v>116</v>
      </c>
    </row>
    <row r="2" spans="1:21" ht="15.75">
      <c r="A2" s="693" t="s">
        <v>116</v>
      </c>
    </row>
    <row r="3" spans="1:21" ht="18">
      <c r="A3" s="1248" t="s">
        <v>389</v>
      </c>
      <c r="B3" s="1248"/>
      <c r="C3" s="1248"/>
      <c r="D3" s="1248"/>
      <c r="E3" s="1248"/>
      <c r="F3" s="1248"/>
      <c r="G3" s="1248"/>
      <c r="H3" s="1248"/>
      <c r="I3" s="1248"/>
      <c r="J3" s="1248"/>
      <c r="K3" s="1248"/>
      <c r="L3" s="1248"/>
      <c r="M3" s="1248"/>
      <c r="N3" s="1248"/>
      <c r="O3" s="1248"/>
    </row>
    <row r="4" spans="1:21" ht="18">
      <c r="A4" s="1247" t="str">
        <f>"Cost of Service Formula Rate Using Actual/Projected FF1 Balances"</f>
        <v>Cost of Service Formula Rate Using Actual/Projected FF1 Balances</v>
      </c>
      <c r="B4" s="1247"/>
      <c r="C4" s="1247"/>
      <c r="D4" s="1247"/>
      <c r="E4" s="1247"/>
      <c r="F4" s="1247"/>
      <c r="G4" s="1247"/>
      <c r="H4" s="1247"/>
      <c r="I4" s="1247"/>
      <c r="J4" s="1247"/>
      <c r="K4" s="1247"/>
      <c r="L4" s="1247"/>
      <c r="M4" s="1247"/>
      <c r="N4" s="1247"/>
      <c r="O4" s="1247"/>
    </row>
    <row r="5" spans="1:21" ht="18">
      <c r="A5" s="1247" t="s">
        <v>241</v>
      </c>
      <c r="B5" s="1247"/>
      <c r="C5" s="1247"/>
      <c r="D5" s="1247"/>
      <c r="E5" s="1247"/>
      <c r="F5" s="1247"/>
      <c r="G5" s="1247"/>
      <c r="H5" s="1247"/>
      <c r="I5" s="1247"/>
      <c r="J5" s="1247"/>
      <c r="K5" s="1247"/>
      <c r="L5" s="1247"/>
      <c r="M5" s="1247"/>
      <c r="N5" s="1247"/>
      <c r="O5" s="1247"/>
    </row>
    <row r="6" spans="1:21" ht="18">
      <c r="A6" s="1241" t="str">
        <f>+TCOS!F9</f>
        <v>KENTUCKY POWER COMPANY</v>
      </c>
      <c r="B6" s="1241"/>
      <c r="C6" s="1241"/>
      <c r="D6" s="1241"/>
      <c r="E6" s="1241"/>
      <c r="F6" s="1241"/>
      <c r="G6" s="1241"/>
      <c r="H6" s="1241"/>
      <c r="I6" s="1241"/>
      <c r="J6" s="1241"/>
      <c r="K6" s="1241"/>
      <c r="L6" s="1241"/>
      <c r="M6" s="1241"/>
      <c r="N6" s="1241"/>
      <c r="O6" s="1241"/>
    </row>
    <row r="7" spans="1:21" ht="12.75" customHeight="1">
      <c r="A7" s="132"/>
      <c r="B7" s="132"/>
      <c r="C7" s="132"/>
      <c r="D7" s="132"/>
      <c r="E7" s="132"/>
      <c r="F7" s="132"/>
      <c r="G7" s="132"/>
      <c r="H7" s="132"/>
      <c r="I7" s="132"/>
      <c r="J7" s="132"/>
      <c r="K7" s="132"/>
      <c r="L7" s="132"/>
    </row>
    <row r="8" spans="1:21" ht="12.75" customHeight="1">
      <c r="A8" s="1272" t="s">
        <v>392</v>
      </c>
      <c r="B8" s="1272"/>
      <c r="C8" s="1272"/>
      <c r="D8" s="1272"/>
      <c r="E8" s="1272"/>
      <c r="F8" s="1272"/>
      <c r="G8" s="1272"/>
      <c r="H8" s="1272"/>
      <c r="I8" s="1272"/>
      <c r="J8" s="1272"/>
      <c r="K8" s="1272"/>
      <c r="L8" s="1272"/>
      <c r="M8" s="1272"/>
      <c r="N8" s="1272"/>
      <c r="O8" s="1272"/>
    </row>
    <row r="9" spans="1:21" ht="12.75" customHeight="1">
      <c r="A9" s="1272"/>
      <c r="B9" s="1272"/>
      <c r="C9" s="1272"/>
      <c r="D9" s="1272"/>
      <c r="E9" s="1272"/>
      <c r="F9" s="1272"/>
      <c r="G9" s="1272"/>
      <c r="H9" s="1272"/>
      <c r="I9" s="1272"/>
      <c r="J9" s="1272"/>
      <c r="K9" s="1272"/>
      <c r="L9" s="1272"/>
      <c r="M9" s="1272"/>
      <c r="N9" s="1272"/>
      <c r="O9" s="1272"/>
    </row>
    <row r="10" spans="1:21">
      <c r="A10" s="1272"/>
      <c r="B10" s="1272"/>
      <c r="C10" s="1272"/>
      <c r="D10" s="1272"/>
      <c r="E10" s="1272"/>
      <c r="F10" s="1272"/>
      <c r="G10" s="1272"/>
      <c r="H10" s="1272"/>
      <c r="I10" s="1272"/>
      <c r="J10" s="1272"/>
      <c r="K10" s="1272"/>
      <c r="L10" s="1272"/>
      <c r="M10" s="1272"/>
      <c r="N10" s="1272"/>
      <c r="O10" s="1272"/>
    </row>
    <row r="11" spans="1:21">
      <c r="A11" s="1272"/>
      <c r="B11" s="1272"/>
      <c r="C11" s="1272"/>
      <c r="D11" s="1272"/>
      <c r="E11" s="1272"/>
      <c r="F11" s="1272"/>
      <c r="G11" s="1272"/>
      <c r="H11" s="1272"/>
      <c r="I11" s="1272"/>
      <c r="J11" s="1272"/>
      <c r="K11" s="1272"/>
      <c r="L11" s="1272"/>
      <c r="M11" s="1272"/>
      <c r="N11" s="1272"/>
      <c r="O11" s="1272"/>
    </row>
    <row r="12" spans="1:21">
      <c r="B12" s="1" t="s">
        <v>164</v>
      </c>
      <c r="C12" s="1"/>
      <c r="D12" s="1189" t="s">
        <v>165</v>
      </c>
      <c r="E12" s="1189"/>
      <c r="F12" s="1189"/>
      <c r="G12" s="1189"/>
      <c r="H12" s="1"/>
      <c r="I12" s="1" t="s">
        <v>4</v>
      </c>
      <c r="J12" s="1"/>
      <c r="K12" s="1" t="s">
        <v>167</v>
      </c>
      <c r="L12" s="1"/>
      <c r="M12" s="1" t="s">
        <v>85</v>
      </c>
      <c r="N12" s="1"/>
      <c r="O12" s="1" t="s">
        <v>86</v>
      </c>
      <c r="P12" s="1"/>
      <c r="Q12" s="1" t="s">
        <v>20</v>
      </c>
      <c r="R12" s="1"/>
      <c r="S12" s="1" t="s">
        <v>92</v>
      </c>
      <c r="T12" s="1"/>
      <c r="U12" s="81" t="s">
        <v>502</v>
      </c>
    </row>
    <row r="13" spans="1:21">
      <c r="I13" s="1271" t="s">
        <v>18</v>
      </c>
      <c r="Q13" s="1273" t="s">
        <v>19</v>
      </c>
      <c r="S13" s="1271" t="s">
        <v>21</v>
      </c>
      <c r="U13" s="243" t="s">
        <v>81</v>
      </c>
    </row>
    <row r="14" spans="1:21">
      <c r="A14" s="141" t="s">
        <v>17</v>
      </c>
      <c r="B14" s="141" t="s">
        <v>13</v>
      </c>
      <c r="C14" s="141"/>
      <c r="D14" s="177" t="s">
        <v>14</v>
      </c>
      <c r="E14" s="141"/>
      <c r="F14" s="141"/>
      <c r="G14" s="141"/>
      <c r="H14" s="141"/>
      <c r="I14" s="1259"/>
      <c r="J14" s="141"/>
      <c r="K14" s="141" t="s">
        <v>15</v>
      </c>
      <c r="L14" s="141"/>
      <c r="M14" s="141" t="s">
        <v>16</v>
      </c>
      <c r="N14" s="141"/>
      <c r="O14" s="141" t="s">
        <v>495</v>
      </c>
      <c r="Q14" s="1273"/>
      <c r="S14" s="1271"/>
      <c r="U14" s="243" t="s">
        <v>308</v>
      </c>
    </row>
    <row r="15" spans="1:21">
      <c r="A15" s="141"/>
      <c r="B15" s="141"/>
      <c r="C15" s="141"/>
      <c r="D15" s="177"/>
      <c r="E15" s="141"/>
      <c r="F15" s="141"/>
      <c r="G15" s="141"/>
      <c r="H15" s="141"/>
      <c r="I15" t="s">
        <v>493</v>
      </c>
      <c r="J15" s="141"/>
      <c r="K15" s="141"/>
      <c r="L15" s="141"/>
      <c r="M15" s="141"/>
      <c r="N15" s="141"/>
      <c r="O15" s="141"/>
      <c r="Q15" s="200"/>
      <c r="S15" s="141" t="s">
        <v>495</v>
      </c>
    </row>
    <row r="16" spans="1:21">
      <c r="I16" t="s">
        <v>494</v>
      </c>
    </row>
    <row r="17" spans="1:21">
      <c r="A17" s="1">
        <v>1</v>
      </c>
      <c r="B17" s="682"/>
      <c r="D17" s="1274"/>
      <c r="E17" s="1274"/>
      <c r="F17" s="1274"/>
      <c r="G17" s="1274"/>
      <c r="I17" s="683"/>
      <c r="K17" s="681"/>
      <c r="L17" s="112"/>
      <c r="M17" s="681"/>
      <c r="O17" s="149">
        <f>+K17-M17</f>
        <v>0</v>
      </c>
      <c r="Q17" s="189">
        <f>IF(I17="G",TCOS!L257,IF(I17="T",1,0))</f>
        <v>0</v>
      </c>
      <c r="S17" s="149">
        <f>ROUND(O17*Q17,0)</f>
        <v>0</v>
      </c>
      <c r="U17" s="684"/>
    </row>
    <row r="18" spans="1:21">
      <c r="A18" s="1"/>
      <c r="D18" s="1274"/>
      <c r="E18" s="1274"/>
      <c r="F18" s="1274"/>
      <c r="G18" s="1274"/>
      <c r="K18" s="112"/>
      <c r="L18" s="112"/>
      <c r="M18" s="112"/>
      <c r="O18" s="112"/>
      <c r="Q18" s="189"/>
      <c r="S18" s="112"/>
    </row>
    <row r="19" spans="1:21">
      <c r="A19" s="1"/>
      <c r="D19" s="1274"/>
      <c r="E19" s="1274"/>
      <c r="F19" s="1274"/>
      <c r="G19" s="1274"/>
      <c r="K19" s="112"/>
      <c r="L19" s="112"/>
      <c r="M19" s="112"/>
      <c r="O19" s="112"/>
      <c r="Q19" s="189"/>
      <c r="S19" s="112"/>
    </row>
    <row r="20" spans="1:21">
      <c r="A20" s="1"/>
      <c r="K20" s="112"/>
      <c r="L20" s="112"/>
      <c r="M20" s="112"/>
      <c r="O20" s="112"/>
      <c r="Q20" s="189"/>
      <c r="S20" s="112"/>
    </row>
    <row r="21" spans="1:21">
      <c r="A21" s="1"/>
      <c r="K21" s="112"/>
      <c r="L21" s="112"/>
      <c r="M21" s="112"/>
      <c r="O21" s="112"/>
      <c r="Q21" s="189"/>
      <c r="S21" s="112"/>
    </row>
    <row r="22" spans="1:21" ht="12" customHeight="1">
      <c r="A22" s="1">
        <f>+A17+1</f>
        <v>2</v>
      </c>
      <c r="B22" s="682"/>
      <c r="D22" s="1274"/>
      <c r="E22" s="1274"/>
      <c r="F22" s="1274"/>
      <c r="G22" s="1274"/>
      <c r="I22" s="683"/>
      <c r="K22" s="681"/>
      <c r="L22" s="112"/>
      <c r="M22" s="681"/>
      <c r="O22" s="149">
        <f>+K22-M22</f>
        <v>0</v>
      </c>
      <c r="Q22" s="189">
        <f>IF(I22="G",TCOS!L257,IF(I22="T",1,0))</f>
        <v>0</v>
      </c>
      <c r="S22" s="149">
        <f>ROUND(O22*Q22,0)</f>
        <v>0</v>
      </c>
      <c r="U22" s="684"/>
    </row>
    <row r="23" spans="1:21">
      <c r="A23" s="1"/>
      <c r="D23" s="1274"/>
      <c r="E23" s="1274"/>
      <c r="F23" s="1274"/>
      <c r="G23" s="1274"/>
      <c r="K23" s="112"/>
      <c r="L23" s="112"/>
      <c r="M23" s="112"/>
      <c r="O23" s="112"/>
      <c r="Q23" s="189"/>
      <c r="S23" s="112"/>
    </row>
    <row r="24" spans="1:21">
      <c r="A24" s="1"/>
      <c r="D24" s="1274"/>
      <c r="E24" s="1274"/>
      <c r="F24" s="1274"/>
      <c r="G24" s="1274"/>
      <c r="K24" s="112"/>
      <c r="L24" s="112"/>
      <c r="M24" s="112"/>
      <c r="O24" s="112"/>
      <c r="Q24" s="189"/>
      <c r="S24" s="112"/>
    </row>
    <row r="25" spans="1:21">
      <c r="A25" s="1"/>
      <c r="I25" s="1"/>
      <c r="K25" s="112"/>
      <c r="L25" s="112"/>
      <c r="M25" s="112"/>
      <c r="O25" s="112"/>
      <c r="Q25" s="189"/>
      <c r="S25" s="112"/>
    </row>
    <row r="26" spans="1:21">
      <c r="A26" s="1"/>
      <c r="I26" s="1"/>
      <c r="K26" s="112"/>
      <c r="L26" s="112"/>
      <c r="M26" s="112"/>
      <c r="O26" s="112"/>
      <c r="Q26" s="189"/>
      <c r="S26" s="112"/>
    </row>
    <row r="27" spans="1:21">
      <c r="A27" s="1">
        <f>+A22+1</f>
        <v>3</v>
      </c>
      <c r="B27" s="682"/>
      <c r="D27" s="1274"/>
      <c r="E27" s="1274"/>
      <c r="F27" s="1274"/>
      <c r="G27" s="1274"/>
      <c r="I27" s="683"/>
      <c r="K27" s="681"/>
      <c r="L27" s="112"/>
      <c r="M27" s="681"/>
      <c r="O27" s="149">
        <f>+K27-M27</f>
        <v>0</v>
      </c>
      <c r="Q27" s="189">
        <f>IF(I27="G",TCOS!L257,IF(I27="T",1,0))</f>
        <v>0</v>
      </c>
      <c r="S27" s="149">
        <f>ROUND(O27*Q27,0)</f>
        <v>0</v>
      </c>
      <c r="U27" s="684"/>
    </row>
    <row r="28" spans="1:21">
      <c r="A28" s="1"/>
      <c r="D28" s="1274"/>
      <c r="E28" s="1274"/>
      <c r="F28" s="1274"/>
      <c r="G28" s="1274"/>
      <c r="K28" s="112"/>
      <c r="L28" s="112"/>
      <c r="M28" s="112"/>
      <c r="O28" s="112"/>
      <c r="Q28" s="189"/>
      <c r="S28" s="112"/>
    </row>
    <row r="29" spans="1:21">
      <c r="A29" s="1"/>
      <c r="D29" s="1274"/>
      <c r="E29" s="1274"/>
      <c r="F29" s="1274"/>
      <c r="G29" s="1274"/>
      <c r="K29" s="112"/>
      <c r="L29" s="112"/>
      <c r="M29" s="112"/>
      <c r="O29" s="112"/>
      <c r="Q29" s="189"/>
    </row>
    <row r="30" spans="1:21">
      <c r="A30" s="1"/>
      <c r="O30" s="112"/>
      <c r="Q30" s="189"/>
    </row>
    <row r="31" spans="1:21">
      <c r="A31" s="1"/>
      <c r="O31" s="112"/>
      <c r="Q31" s="189"/>
    </row>
    <row r="32" spans="1:21">
      <c r="A32" s="1"/>
      <c r="O32" s="112"/>
      <c r="Q32" s="189"/>
    </row>
    <row r="33" spans="1:19" ht="13.5" thickBot="1">
      <c r="A33" s="1">
        <f>+A27+1</f>
        <v>4</v>
      </c>
      <c r="K33" t="str">
        <f>"Net (Gain) or Loss for "&amp;TCOS!L4&amp;""</f>
        <v>Net (Gain) or Loss for 2025</v>
      </c>
      <c r="O33" s="198">
        <f>SUM(O17:O27)</f>
        <v>0</v>
      </c>
      <c r="Q33" s="199"/>
      <c r="S33" s="198">
        <f>SUM(S17:S27)</f>
        <v>0</v>
      </c>
    </row>
    <row r="34" spans="1:19" ht="13.5" thickTop="1">
      <c r="A34" s="1"/>
      <c r="O34" s="112"/>
      <c r="Q34" s="199"/>
    </row>
  </sheetData>
  <mergeCells count="12">
    <mergeCell ref="Q13:Q14"/>
    <mergeCell ref="S13:S14"/>
    <mergeCell ref="D17:G19"/>
    <mergeCell ref="D22:G24"/>
    <mergeCell ref="D27:G29"/>
    <mergeCell ref="A3:O3"/>
    <mergeCell ref="A4:O4"/>
    <mergeCell ref="A5:O5"/>
    <mergeCell ref="I13:I14"/>
    <mergeCell ref="D12:G12"/>
    <mergeCell ref="A6:O6"/>
    <mergeCell ref="A8:O11"/>
  </mergeCells>
  <phoneticPr fontId="95" type="noConversion"/>
  <pageMargins left="0.75" right="0.75" top="1" bottom="1" header="0.75" footer="0.5"/>
  <pageSetup scale="76" orientation="landscape" r:id="rId1"/>
  <headerFooter alignWithMargins="0">
    <oddHeader>&amp;R&amp;"Arial,Bold"Formula Rate 
&amp;A
Page &amp;P of &amp;N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Q203"/>
  <sheetViews>
    <sheetView tabSelected="1" view="pageBreakPreview" zoomScaleNormal="75" zoomScaleSheetLayoutView="100" workbookViewId="0">
      <selection activeCell="D9" sqref="D9"/>
    </sheetView>
  </sheetViews>
  <sheetFormatPr defaultColWidth="9.140625" defaultRowHeight="12.75"/>
  <cols>
    <col min="1" max="1" width="8.140625" style="906" customWidth="1"/>
    <col min="2" max="2" width="28.85546875" style="906" customWidth="1"/>
    <col min="3" max="3" width="17.85546875" style="906" customWidth="1"/>
    <col min="4" max="4" width="19.42578125" style="906" customWidth="1"/>
    <col min="5" max="6" width="19.85546875" style="906" customWidth="1"/>
    <col min="7" max="7" width="21.42578125" style="906" customWidth="1"/>
    <col min="8" max="9" width="19.85546875" style="906" customWidth="1"/>
    <col min="10" max="10" width="21.42578125" style="906" customWidth="1"/>
    <col min="11" max="11" width="18.140625" style="906" customWidth="1"/>
    <col min="12" max="12" width="22.42578125" style="906" customWidth="1"/>
    <col min="13" max="13" width="22.140625" style="906" customWidth="1"/>
    <col min="14" max="14" width="11.140625" style="906" customWidth="1"/>
    <col min="15" max="15" width="11.42578125" style="906" bestFit="1" customWidth="1"/>
    <col min="16" max="16" width="12.42578125" style="906" customWidth="1"/>
    <col min="17" max="17" width="9.140625" style="906"/>
    <col min="18" max="18" width="10.42578125" style="906" bestFit="1" customWidth="1"/>
    <col min="19" max="19" width="9.140625" style="906"/>
    <col min="20" max="20" width="12.85546875" style="906" customWidth="1"/>
    <col min="21" max="21" width="13.5703125" style="906" customWidth="1"/>
    <col min="22" max="16384" width="9.140625" style="906"/>
  </cols>
  <sheetData>
    <row r="1" spans="1:17" ht="15.75">
      <c r="A1" s="905" t="s">
        <v>116</v>
      </c>
    </row>
    <row r="2" spans="1:17" ht="15.75">
      <c r="A2" s="905" t="s">
        <v>116</v>
      </c>
    </row>
    <row r="3" spans="1:17" ht="15.75">
      <c r="A3" s="1281" t="s">
        <v>389</v>
      </c>
      <c r="B3" s="1281"/>
      <c r="C3" s="1281"/>
      <c r="D3" s="1281"/>
      <c r="E3" s="1281"/>
      <c r="F3" s="1281"/>
      <c r="G3" s="1281"/>
      <c r="H3" s="1281"/>
      <c r="I3" s="1281"/>
      <c r="J3" s="1281"/>
      <c r="K3" s="1281"/>
      <c r="L3" s="907"/>
      <c r="M3" s="907"/>
      <c r="N3" s="908"/>
      <c r="O3" s="908"/>
      <c r="P3" s="908"/>
      <c r="Q3" s="908"/>
    </row>
    <row r="4" spans="1:17" ht="15.75">
      <c r="A4" s="1282" t="str">
        <f>"Cost of Service Formula Rate Using Actual/Projected FF1 Balances"</f>
        <v>Cost of Service Formula Rate Using Actual/Projected FF1 Balances</v>
      </c>
      <c r="B4" s="1283"/>
      <c r="C4" s="1283"/>
      <c r="D4" s="1283"/>
      <c r="E4" s="1283"/>
      <c r="F4" s="1283"/>
      <c r="G4" s="1283"/>
      <c r="H4" s="1283"/>
      <c r="I4" s="1283"/>
      <c r="J4" s="1283"/>
      <c r="K4" s="1283"/>
      <c r="L4" s="909"/>
      <c r="M4" s="911"/>
      <c r="N4" s="912"/>
      <c r="O4" s="912"/>
      <c r="P4" s="912"/>
      <c r="Q4" s="912"/>
    </row>
    <row r="5" spans="1:17" ht="15.75">
      <c r="A5" s="1282" t="s">
        <v>853</v>
      </c>
      <c r="B5" s="1282"/>
      <c r="C5" s="1282"/>
      <c r="D5" s="1282"/>
      <c r="E5" s="1282"/>
      <c r="F5" s="1282"/>
      <c r="G5" s="1282"/>
      <c r="H5" s="1282"/>
      <c r="I5" s="1282"/>
      <c r="J5" s="1282"/>
      <c r="K5" s="1282"/>
      <c r="L5" s="909"/>
      <c r="M5" s="913"/>
      <c r="N5" s="913"/>
      <c r="O5" s="913"/>
      <c r="P5" s="913"/>
      <c r="Q5" s="913"/>
    </row>
    <row r="6" spans="1:17" ht="15.75">
      <c r="A6" s="1284" t="str">
        <f>TCOS!F9</f>
        <v>KENTUCKY POWER COMPANY</v>
      </c>
      <c r="B6" s="1284"/>
      <c r="C6" s="1284"/>
      <c r="D6" s="1284"/>
      <c r="E6" s="1284"/>
      <c r="F6" s="1284"/>
      <c r="G6" s="1284"/>
      <c r="H6" s="1284"/>
      <c r="I6" s="1284"/>
      <c r="J6" s="1284"/>
      <c r="K6" s="1284"/>
      <c r="L6" s="914"/>
      <c r="M6" s="914"/>
      <c r="N6" s="915"/>
      <c r="O6" s="915"/>
      <c r="P6" s="915"/>
      <c r="Q6" s="915"/>
    </row>
    <row r="9" spans="1:17">
      <c r="B9" s="1278"/>
      <c r="C9" s="1278"/>
      <c r="D9" s="1278"/>
      <c r="E9" s="1278"/>
      <c r="F9" s="1278"/>
      <c r="G9" s="1278"/>
      <c r="H9" s="1278"/>
      <c r="I9" s="1278"/>
      <c r="J9" s="1278"/>
      <c r="K9" s="1278"/>
      <c r="L9" s="1278"/>
      <c r="M9" s="1278"/>
      <c r="N9" s="917"/>
      <c r="O9" s="917"/>
      <c r="P9" s="917"/>
      <c r="Q9" s="917"/>
    </row>
    <row r="10" spans="1:17">
      <c r="I10" s="917"/>
      <c r="J10" s="917"/>
      <c r="K10" s="917"/>
      <c r="L10" s="917"/>
      <c r="M10" s="917"/>
      <c r="N10" s="917"/>
      <c r="O10" s="917"/>
      <c r="P10" s="917"/>
      <c r="Q10" s="917"/>
    </row>
    <row r="11" spans="1:17">
      <c r="I11" s="917"/>
      <c r="J11" s="917"/>
      <c r="K11" s="917"/>
      <c r="L11" s="917"/>
      <c r="M11" s="917"/>
      <c r="N11" s="917"/>
      <c r="O11" s="917"/>
      <c r="P11" s="917"/>
      <c r="Q11" s="917"/>
    </row>
    <row r="12" spans="1:17">
      <c r="A12" s="910">
        <v>1</v>
      </c>
      <c r="B12" s="906" t="s">
        <v>827</v>
      </c>
      <c r="E12" s="1091">
        <v>-203719238.61753508</v>
      </c>
      <c r="J12" s="917"/>
      <c r="K12" s="917"/>
      <c r="L12" s="917"/>
      <c r="M12" s="917"/>
      <c r="N12" s="917"/>
      <c r="O12" s="917"/>
      <c r="P12" s="917"/>
      <c r="Q12" s="917"/>
    </row>
    <row r="13" spans="1:17">
      <c r="J13" s="917"/>
      <c r="K13" s="917"/>
      <c r="L13" s="917"/>
      <c r="M13" s="917"/>
      <c r="N13" s="917"/>
      <c r="O13" s="917"/>
      <c r="P13" s="917"/>
      <c r="Q13" s="917"/>
    </row>
    <row r="14" spans="1:17">
      <c r="B14" s="1275" t="str">
        <f>"Allocation of PBOP Settlement Amount for "&amp;TCOS!L4&amp;""</f>
        <v>Allocation of PBOP Settlement Amount for 2025</v>
      </c>
      <c r="C14" s="1275"/>
      <c r="D14" s="918"/>
      <c r="E14" s="918"/>
      <c r="F14" s="918"/>
      <c r="G14" s="918"/>
      <c r="H14" s="918"/>
      <c r="I14" s="918"/>
      <c r="J14" s="918"/>
      <c r="K14" s="918"/>
      <c r="L14" s="918"/>
      <c r="M14" s="918"/>
      <c r="N14" s="917"/>
      <c r="O14" s="917"/>
      <c r="P14" s="917"/>
      <c r="Q14" s="917"/>
    </row>
    <row r="15" spans="1:17">
      <c r="C15" s="1278" t="s">
        <v>828</v>
      </c>
      <c r="D15" s="1278"/>
      <c r="E15" s="1278"/>
      <c r="F15" s="916"/>
      <c r="N15" s="917"/>
      <c r="O15" s="917"/>
      <c r="P15" s="917"/>
      <c r="Q15" s="917"/>
    </row>
    <row r="16" spans="1:17">
      <c r="C16" s="1279" t="s">
        <v>829</v>
      </c>
      <c r="D16" s="1279" t="s">
        <v>830</v>
      </c>
      <c r="E16" s="1279" t="s">
        <v>831</v>
      </c>
      <c r="F16" s="936"/>
      <c r="G16" s="936"/>
      <c r="H16" s="936"/>
      <c r="I16" s="1279" t="s">
        <v>832</v>
      </c>
      <c r="N16" s="917"/>
      <c r="O16" s="917"/>
      <c r="P16" s="917"/>
      <c r="Q16" s="917"/>
    </row>
    <row r="17" spans="1:17" ht="12.75" customHeight="1">
      <c r="C17" s="1276"/>
      <c r="D17" s="1276"/>
      <c r="E17" s="1276"/>
      <c r="F17" s="1279" t="str">
        <f>"Labor Allocator for "&amp;TCOS!L4&amp;""</f>
        <v>Labor Allocator for 2025</v>
      </c>
      <c r="G17" s="938"/>
      <c r="H17" s="1280" t="s">
        <v>833</v>
      </c>
      <c r="I17" s="1279"/>
      <c r="N17" s="917"/>
      <c r="O17" s="917"/>
      <c r="P17" s="917"/>
      <c r="Q17" s="917"/>
    </row>
    <row r="18" spans="1:17">
      <c r="A18" s="919" t="s">
        <v>834</v>
      </c>
      <c r="B18" s="916" t="s">
        <v>185</v>
      </c>
      <c r="C18" s="1276"/>
      <c r="D18" s="1276"/>
      <c r="E18" s="1276"/>
      <c r="F18" s="1279"/>
      <c r="G18" s="940" t="s">
        <v>835</v>
      </c>
      <c r="H18" s="1280"/>
      <c r="I18" s="1279"/>
      <c r="N18" s="917"/>
      <c r="O18" s="917"/>
      <c r="P18" s="917"/>
      <c r="Q18" s="917"/>
    </row>
    <row r="19" spans="1:17">
      <c r="B19" s="916"/>
      <c r="C19" s="926"/>
      <c r="D19" s="926"/>
      <c r="E19" s="926"/>
      <c r="F19" s="936"/>
      <c r="G19" s="938"/>
      <c r="H19" s="938"/>
      <c r="I19" s="926"/>
      <c r="N19" s="917"/>
      <c r="O19" s="917"/>
      <c r="P19" s="917"/>
      <c r="Q19" s="917"/>
    </row>
    <row r="20" spans="1:17" ht="25.5">
      <c r="B20" s="916"/>
      <c r="C20" s="936" t="s">
        <v>164</v>
      </c>
      <c r="D20" s="936" t="s">
        <v>836</v>
      </c>
      <c r="E20" s="937" t="str">
        <f>"(C )=(B) * "&amp;E12&amp;""</f>
        <v>(C )=(B) * -203719238.617535</v>
      </c>
      <c r="F20" s="936" t="s">
        <v>167</v>
      </c>
      <c r="G20" s="941" t="s">
        <v>837</v>
      </c>
      <c r="H20" s="941" t="s">
        <v>838</v>
      </c>
      <c r="I20" s="937" t="s">
        <v>839</v>
      </c>
      <c r="N20" s="917"/>
      <c r="O20" s="917"/>
      <c r="P20" s="917"/>
      <c r="Q20" s="917"/>
    </row>
    <row r="21" spans="1:17">
      <c r="B21" s="916"/>
      <c r="C21" s="936" t="str">
        <f>"(Line "&amp;A47&amp;")"</f>
        <v>(Line 14)</v>
      </c>
      <c r="D21" s="936"/>
      <c r="E21" s="937"/>
      <c r="F21" s="936"/>
      <c r="G21" s="938"/>
      <c r="H21" s="939"/>
      <c r="I21" s="937"/>
      <c r="N21" s="917"/>
      <c r="O21" s="917"/>
      <c r="P21" s="917"/>
      <c r="Q21" s="917"/>
    </row>
    <row r="22" spans="1:17">
      <c r="A22" s="906">
        <v>2</v>
      </c>
      <c r="B22" s="906" t="s">
        <v>840</v>
      </c>
      <c r="C22" s="1042">
        <f>D47</f>
        <v>-15301519.658836434</v>
      </c>
      <c r="D22" s="1043">
        <f t="shared" ref="D22:D27" si="0">+C22/C$28</f>
        <v>0.36412705758197317</v>
      </c>
      <c r="E22" s="925">
        <f t="shared" ref="E22:E27" si="1">ROUND(D22*E$28,0)</f>
        <v>-74179687</v>
      </c>
      <c r="F22" s="1044">
        <v>0.11936202903264627</v>
      </c>
      <c r="G22" s="1045">
        <f t="shared" ref="G22:G27" si="2">+C22*F22</f>
        <v>-1826420.4337616421</v>
      </c>
      <c r="H22" s="1045">
        <f t="shared" ref="H22:H27" si="3">+F22*E22</f>
        <v>-8854237.9533266127</v>
      </c>
      <c r="I22" s="925">
        <f t="shared" ref="I22:I27" si="4">+G22-H22</f>
        <v>7027817.5195649704</v>
      </c>
      <c r="N22" s="917"/>
      <c r="O22" s="917"/>
      <c r="P22" s="917"/>
      <c r="Q22" s="917"/>
    </row>
    <row r="23" spans="1:17">
      <c r="A23" s="906">
        <f t="shared" ref="A23:A28" si="5">+A22+1</f>
        <v>3</v>
      </c>
      <c r="B23" s="906" t="s">
        <v>841</v>
      </c>
      <c r="C23" s="1042">
        <f>F47</f>
        <v>-10542358.114148542</v>
      </c>
      <c r="D23" s="1043">
        <f t="shared" si="0"/>
        <v>0.25087428736945838</v>
      </c>
      <c r="E23" s="925">
        <f t="shared" si="1"/>
        <v>-51107919</v>
      </c>
      <c r="F23" s="1044">
        <v>4.9622134516203481E-2</v>
      </c>
      <c r="G23" s="1045">
        <f t="shared" si="2"/>
        <v>-523134.31245826819</v>
      </c>
      <c r="H23" s="1045">
        <f t="shared" si="3"/>
        <v>-2536084.0314612319</v>
      </c>
      <c r="I23" s="925">
        <f t="shared" si="4"/>
        <v>2012949.7190029637</v>
      </c>
      <c r="N23" s="917"/>
      <c r="O23" s="917"/>
      <c r="P23" s="917"/>
      <c r="Q23" s="917"/>
    </row>
    <row r="24" spans="1:17">
      <c r="A24" s="906">
        <f t="shared" si="5"/>
        <v>4</v>
      </c>
      <c r="B24" s="906" t="s">
        <v>842</v>
      </c>
      <c r="C24" s="1042">
        <f>G47</f>
        <v>-3474539.3644135403</v>
      </c>
      <c r="D24" s="1043">
        <f t="shared" si="0"/>
        <v>8.2682885322832619E-2</v>
      </c>
      <c r="E24" s="925">
        <f t="shared" si="1"/>
        <v>-16844094</v>
      </c>
      <c r="F24" s="1044">
        <v>0.11037346423821143</v>
      </c>
      <c r="G24" s="1045">
        <f t="shared" si="2"/>
        <v>-383496.94628235576</v>
      </c>
      <c r="H24" s="1045">
        <f t="shared" si="3"/>
        <v>-1859141.0067340718</v>
      </c>
      <c r="I24" s="925">
        <f t="shared" si="4"/>
        <v>1475644.060451716</v>
      </c>
      <c r="N24" s="917"/>
      <c r="O24" s="917"/>
      <c r="P24" s="917"/>
      <c r="Q24" s="917"/>
    </row>
    <row r="25" spans="1:17">
      <c r="A25" s="906">
        <f t="shared" si="5"/>
        <v>5</v>
      </c>
      <c r="B25" s="906" t="s">
        <v>843</v>
      </c>
      <c r="C25" s="1042">
        <f>H47</f>
        <v>-393490.40255542228</v>
      </c>
      <c r="D25" s="1043">
        <f t="shared" si="0"/>
        <v>9.3638086715465141E-3</v>
      </c>
      <c r="E25" s="925">
        <f t="shared" si="1"/>
        <v>-1907588</v>
      </c>
      <c r="F25" s="1044">
        <v>0.12397626165284048</v>
      </c>
      <c r="G25" s="1045">
        <f t="shared" si="2"/>
        <v>-48783.469105092561</v>
      </c>
      <c r="H25" s="1045">
        <f t="shared" si="3"/>
        <v>-236495.62901381866</v>
      </c>
      <c r="I25" s="925">
        <f t="shared" si="4"/>
        <v>187712.15990872611</v>
      </c>
      <c r="N25" s="917"/>
      <c r="O25" s="917"/>
      <c r="P25" s="917"/>
      <c r="Q25" s="917"/>
    </row>
    <row r="26" spans="1:17">
      <c r="A26" s="906">
        <f t="shared" si="5"/>
        <v>6</v>
      </c>
      <c r="B26" s="906" t="s">
        <v>844</v>
      </c>
      <c r="C26" s="1042">
        <f>I47</f>
        <v>-11437962.325379781</v>
      </c>
      <c r="D26" s="1043">
        <f t="shared" si="0"/>
        <v>0.27218679315089095</v>
      </c>
      <c r="E26" s="925">
        <f t="shared" si="1"/>
        <v>-55449686</v>
      </c>
      <c r="F26" s="1044">
        <v>0.15100284283719081</v>
      </c>
      <c r="G26" s="1045">
        <f t="shared" si="2"/>
        <v>-1727164.8273970326</v>
      </c>
      <c r="H26" s="1045">
        <f t="shared" si="3"/>
        <v>-8373060.2204295797</v>
      </c>
      <c r="I26" s="925">
        <f t="shared" si="4"/>
        <v>6645895.3930325471</v>
      </c>
      <c r="N26" s="917"/>
      <c r="O26" s="917"/>
      <c r="P26" s="917"/>
      <c r="Q26" s="917"/>
    </row>
    <row r="27" spans="1:17">
      <c r="A27" s="906">
        <f t="shared" si="5"/>
        <v>7</v>
      </c>
      <c r="B27" s="906" t="s">
        <v>845</v>
      </c>
      <c r="C27" s="1042">
        <f>J47</f>
        <v>-872603.71970525081</v>
      </c>
      <c r="D27" s="1043">
        <f t="shared" si="0"/>
        <v>2.0765167903298274E-2</v>
      </c>
      <c r="E27" s="1046">
        <f t="shared" si="1"/>
        <v>-4230264</v>
      </c>
      <c r="F27" s="1047">
        <v>2.4194780770061278E-2</v>
      </c>
      <c r="G27" s="1048">
        <f t="shared" si="2"/>
        <v>-21112.455697408543</v>
      </c>
      <c r="H27" s="1048">
        <f t="shared" si="3"/>
        <v>-102350.3100794825</v>
      </c>
      <c r="I27" s="1046">
        <f t="shared" si="4"/>
        <v>81237.854382073958</v>
      </c>
      <c r="N27" s="917"/>
      <c r="O27" s="917"/>
      <c r="P27" s="917"/>
      <c r="Q27" s="917"/>
    </row>
    <row r="28" spans="1:17">
      <c r="A28" s="906">
        <f t="shared" si="5"/>
        <v>8</v>
      </c>
      <c r="B28" s="916" t="str">
        <f>"Sum of Lines "&amp;A22&amp;" to "&amp;A27&amp;""</f>
        <v>Sum of Lines 2 to 7</v>
      </c>
      <c r="C28" s="925">
        <f>SUM(C22:C27)</f>
        <v>-42022473.585038975</v>
      </c>
      <c r="E28" s="1045">
        <f>+E12</f>
        <v>-203719238.61753508</v>
      </c>
      <c r="F28" s="1045"/>
      <c r="G28" s="1045">
        <f>SUM(G22:G27)</f>
        <v>-4530112.4447017992</v>
      </c>
      <c r="H28" s="1045">
        <f>SUM(H22:H27)</f>
        <v>-21961369.151044793</v>
      </c>
      <c r="I28" s="1045">
        <f>SUM(I22:I27)</f>
        <v>17431256.706342999</v>
      </c>
      <c r="N28" s="917"/>
      <c r="O28" s="917"/>
      <c r="P28" s="917"/>
      <c r="Q28" s="917"/>
    </row>
    <row r="29" spans="1:17">
      <c r="C29" s="925"/>
      <c r="N29" s="917"/>
      <c r="O29" s="917"/>
      <c r="P29" s="917"/>
      <c r="Q29" s="917"/>
    </row>
    <row r="30" spans="1:17">
      <c r="N30" s="917"/>
      <c r="O30" s="917"/>
      <c r="P30" s="917"/>
      <c r="Q30" s="917"/>
    </row>
    <row r="31" spans="1:17">
      <c r="J31" s="917"/>
      <c r="K31" s="917"/>
      <c r="L31" s="917"/>
      <c r="M31" s="917"/>
      <c r="N31" s="917"/>
      <c r="O31" s="917"/>
      <c r="P31" s="917"/>
      <c r="Q31" s="917"/>
    </row>
    <row r="32" spans="1:17">
      <c r="J32" s="917"/>
      <c r="K32" s="917"/>
      <c r="L32" s="917"/>
      <c r="M32" s="917"/>
      <c r="N32" s="917"/>
      <c r="O32" s="917"/>
      <c r="P32" s="917"/>
      <c r="Q32" s="917"/>
    </row>
    <row r="33" spans="1:17">
      <c r="B33" s="919" t="s">
        <v>854</v>
      </c>
      <c r="F33" s="920"/>
      <c r="J33" s="917"/>
      <c r="K33" s="917"/>
      <c r="L33" s="917"/>
      <c r="M33" s="917"/>
      <c r="N33" s="917"/>
      <c r="O33" s="917"/>
      <c r="P33" s="917"/>
      <c r="Q33" s="917"/>
    </row>
    <row r="34" spans="1:17">
      <c r="E34" s="920"/>
      <c r="I34" s="921"/>
      <c r="J34" s="917"/>
      <c r="K34" s="917"/>
      <c r="L34" s="917"/>
      <c r="M34" s="917"/>
      <c r="N34" s="917"/>
      <c r="O34" s="917"/>
      <c r="P34" s="917"/>
      <c r="Q34" s="917"/>
    </row>
    <row r="35" spans="1:17">
      <c r="D35" s="922" t="s">
        <v>840</v>
      </c>
      <c r="E35" s="923"/>
      <c r="F35" s="922" t="s">
        <v>841</v>
      </c>
      <c r="G35" s="922" t="s">
        <v>842</v>
      </c>
      <c r="H35" s="922" t="s">
        <v>846</v>
      </c>
      <c r="I35" s="924" t="s">
        <v>844</v>
      </c>
      <c r="J35" s="924" t="s">
        <v>845</v>
      </c>
      <c r="K35" s="924" t="s">
        <v>847</v>
      </c>
      <c r="L35" s="917"/>
      <c r="M35" s="917"/>
      <c r="N35" s="917"/>
      <c r="O35" s="917"/>
      <c r="P35" s="917"/>
      <c r="Q35" s="917"/>
    </row>
    <row r="36" spans="1:17">
      <c r="E36" s="917"/>
      <c r="I36" s="917"/>
      <c r="J36" s="917"/>
      <c r="K36" s="917"/>
      <c r="L36" s="917"/>
      <c r="M36" s="917"/>
      <c r="N36" s="917"/>
      <c r="O36" s="917"/>
      <c r="P36" s="917"/>
      <c r="Q36" s="917"/>
    </row>
    <row r="37" spans="1:17">
      <c r="A37" s="906">
        <f>+A28+1</f>
        <v>9</v>
      </c>
      <c r="B37" s="906" t="s">
        <v>848</v>
      </c>
      <c r="D37" s="1016">
        <v>-11724907</v>
      </c>
      <c r="E37" s="1017"/>
      <c r="F37" s="1016">
        <v>-9493012</v>
      </c>
      <c r="G37" s="1016">
        <v>-2659203</v>
      </c>
      <c r="H37" s="1016">
        <v>-312354</v>
      </c>
      <c r="I37" s="1016">
        <v>-8286927</v>
      </c>
      <c r="J37" s="1016">
        <v>-605514</v>
      </c>
      <c r="K37" s="920">
        <f>SUM(D37:J37)</f>
        <v>-33081917</v>
      </c>
      <c r="L37" s="917" t="s">
        <v>116</v>
      </c>
      <c r="M37" s="917"/>
      <c r="N37" s="917"/>
      <c r="O37" s="917"/>
      <c r="P37" s="917"/>
      <c r="Q37" s="917"/>
    </row>
    <row r="38" spans="1:17">
      <c r="D38" s="925"/>
      <c r="E38" s="917"/>
      <c r="F38" s="925"/>
      <c r="G38" s="925"/>
      <c r="H38" s="925"/>
      <c r="I38" s="925"/>
      <c r="J38" s="925"/>
    </row>
    <row r="39" spans="1:17" ht="12.75" customHeight="1">
      <c r="A39" s="906">
        <f>+A37+1</f>
        <v>10</v>
      </c>
      <c r="B39" s="1277" t="s">
        <v>849</v>
      </c>
      <c r="C39" s="1277"/>
      <c r="D39" s="1016">
        <v>321470.5500000082</v>
      </c>
      <c r="E39" s="1017"/>
      <c r="F39" s="1016">
        <v>1061571.0399999991</v>
      </c>
      <c r="G39" s="1016">
        <v>-144047.14999999758</v>
      </c>
      <c r="H39" s="1016">
        <v>0</v>
      </c>
      <c r="I39" s="1016">
        <v>-0.23999999836087227</v>
      </c>
      <c r="J39" s="1016">
        <v>144047.03000000009</v>
      </c>
      <c r="K39" s="920"/>
      <c r="L39" s="917"/>
      <c r="M39" s="917"/>
      <c r="N39" s="917"/>
      <c r="O39" s="917"/>
      <c r="P39" s="917"/>
      <c r="Q39" s="917"/>
    </row>
    <row r="40" spans="1:17">
      <c r="B40" s="926"/>
      <c r="C40" s="926"/>
      <c r="D40" s="920"/>
      <c r="E40" s="917"/>
      <c r="F40" s="920"/>
      <c r="G40" s="920"/>
      <c r="H40" s="920"/>
      <c r="I40" s="920"/>
      <c r="J40" s="920"/>
      <c r="L40" s="917"/>
      <c r="M40" s="917"/>
      <c r="N40" s="917"/>
      <c r="O40" s="917"/>
      <c r="P40" s="917"/>
      <c r="Q40" s="917"/>
    </row>
    <row r="41" spans="1:17">
      <c r="A41" s="906">
        <f>+A39+1</f>
        <v>11</v>
      </c>
      <c r="B41" s="906" t="s">
        <v>850</v>
      </c>
      <c r="D41" s="1016"/>
      <c r="E41" s="1017"/>
      <c r="F41" s="1016"/>
      <c r="G41" s="1016"/>
      <c r="H41" s="1016"/>
      <c r="I41" s="1016"/>
      <c r="J41" s="1016"/>
      <c r="K41" s="920">
        <f>SUM(D41:J41)</f>
        <v>0</v>
      </c>
      <c r="L41" s="917"/>
      <c r="M41" s="917"/>
      <c r="N41" s="917"/>
      <c r="O41" s="917"/>
      <c r="P41" s="917"/>
      <c r="Q41" s="917"/>
    </row>
    <row r="42" spans="1:17">
      <c r="D42" s="927"/>
      <c r="E42" s="928"/>
      <c r="F42" s="927"/>
      <c r="G42" s="927"/>
      <c r="H42" s="927"/>
      <c r="I42" s="928"/>
      <c r="J42" s="928"/>
      <c r="K42" s="927"/>
      <c r="L42" s="917"/>
      <c r="M42" s="917"/>
      <c r="N42" s="917"/>
      <c r="O42" s="917"/>
      <c r="P42" s="917"/>
      <c r="Q42" s="917"/>
    </row>
    <row r="43" spans="1:17">
      <c r="A43" s="906">
        <f>+A41+1</f>
        <v>12</v>
      </c>
      <c r="B43" s="906" t="str">
        <f>"Net Company Expense (Ln "&amp;A37&amp;" + Ln "&amp;A39&amp;" + Ln  "&amp;A41&amp;")"</f>
        <v>Net Company Expense (Ln 9 + Ln 10 + Ln  11)</v>
      </c>
      <c r="D43" s="920">
        <f t="shared" ref="D43:J43" si="6">+D37+D41+D39</f>
        <v>-11403436.449999992</v>
      </c>
      <c r="E43" s="921"/>
      <c r="F43" s="920">
        <f t="shared" si="6"/>
        <v>-8431440.9600000009</v>
      </c>
      <c r="G43" s="920">
        <f t="shared" si="6"/>
        <v>-2803250.1499999976</v>
      </c>
      <c r="H43" s="920">
        <f t="shared" si="6"/>
        <v>-312354</v>
      </c>
      <c r="I43" s="920">
        <f t="shared" si="6"/>
        <v>-8286927.2399999984</v>
      </c>
      <c r="J43" s="920">
        <f t="shared" si="6"/>
        <v>-461466.96999999991</v>
      </c>
      <c r="K43" s="920">
        <f>SUM(D43:J43)</f>
        <v>-31698875.769999988</v>
      </c>
      <c r="L43" s="917"/>
      <c r="M43" s="917"/>
      <c r="N43" s="917"/>
      <c r="O43" s="917"/>
      <c r="P43" s="917"/>
      <c r="Q43" s="917"/>
    </row>
    <row r="44" spans="1:17">
      <c r="E44" s="917"/>
      <c r="G44" s="920">
        <f>+G40+G42</f>
        <v>0</v>
      </c>
      <c r="I44" s="917"/>
      <c r="J44" s="917"/>
      <c r="L44" s="929"/>
      <c r="M44" s="917"/>
      <c r="N44" s="917"/>
      <c r="O44" s="917"/>
      <c r="P44" s="917"/>
      <c r="Q44" s="917"/>
    </row>
    <row r="45" spans="1:17">
      <c r="A45" s="906">
        <f>+A43+1</f>
        <v>13</v>
      </c>
      <c r="B45" s="1276" t="s">
        <v>851</v>
      </c>
      <c r="C45" s="1276"/>
      <c r="D45" s="1016">
        <v>-3898083.2088364419</v>
      </c>
      <c r="E45" s="1017"/>
      <c r="F45" s="1016">
        <v>-2110917.1541485414</v>
      </c>
      <c r="G45" s="1016">
        <v>-671289.21441354265</v>
      </c>
      <c r="H45" s="1016">
        <v>-81136.402555422246</v>
      </c>
      <c r="I45" s="1016">
        <v>-3151035.0853797835</v>
      </c>
      <c r="J45" s="1016">
        <v>-411136.7497052509</v>
      </c>
      <c r="K45" s="920">
        <f>SUM(D45:J45)</f>
        <v>-10323597.815038983</v>
      </c>
      <c r="L45" s="930" t="s">
        <v>116</v>
      </c>
      <c r="M45" s="917"/>
      <c r="N45" s="917"/>
      <c r="O45" s="917"/>
      <c r="P45" s="917"/>
      <c r="Q45" s="917"/>
    </row>
    <row r="46" spans="1:17">
      <c r="B46" s="1276"/>
      <c r="C46" s="1276"/>
      <c r="E46" s="917"/>
      <c r="I46" s="917"/>
      <c r="J46" s="917"/>
      <c r="L46" s="917"/>
      <c r="M46" s="917"/>
      <c r="N46" s="917"/>
      <c r="O46" s="917"/>
      <c r="P46" s="917"/>
      <c r="Q46" s="917"/>
    </row>
    <row r="47" spans="1:17" ht="13.5" thickBot="1">
      <c r="A47" s="906">
        <f>+A45+1</f>
        <v>14</v>
      </c>
      <c r="B47" s="906" t="str">
        <f>"Company PBOP Expense (Ln "&amp;A43&amp;" + Ln  "&amp;A45&amp;")"</f>
        <v>Company PBOP Expense (Ln 12 + Ln  13)</v>
      </c>
      <c r="D47" s="931">
        <f>+D45+D41+D39+D37</f>
        <v>-15301519.658836434</v>
      </c>
      <c r="E47" s="932"/>
      <c r="F47" s="931">
        <f>+F45+F41+F39+F37</f>
        <v>-10542358.114148542</v>
      </c>
      <c r="G47" s="931">
        <f>+G45+G41+G39+G37</f>
        <v>-3474539.3644135403</v>
      </c>
      <c r="H47" s="931">
        <f>+H45+H41+H39+H37</f>
        <v>-393490.40255542228</v>
      </c>
      <c r="I47" s="931">
        <f>+I45+I41+I39+I37</f>
        <v>-11437962.325379781</v>
      </c>
      <c r="J47" s="931">
        <f>+J45+J41+J39+J37</f>
        <v>-872603.71970525081</v>
      </c>
      <c r="K47" s="933">
        <f>SUM(D47:J47)</f>
        <v>-42022473.585038975</v>
      </c>
      <c r="L47" s="917"/>
      <c r="M47" s="917"/>
      <c r="N47" s="917"/>
      <c r="O47" s="917"/>
      <c r="P47" s="917"/>
      <c r="Q47" s="917"/>
    </row>
    <row r="48" spans="1:17" ht="13.5" thickTop="1">
      <c r="I48" s="917"/>
      <c r="J48" s="917"/>
      <c r="K48" s="917"/>
      <c r="L48" s="917"/>
      <c r="M48" s="917"/>
      <c r="N48" s="917"/>
      <c r="O48" s="917"/>
      <c r="P48" s="917"/>
      <c r="Q48" s="917"/>
    </row>
    <row r="49" spans="1:17">
      <c r="A49" s="1277" t="s">
        <v>852</v>
      </c>
      <c r="B49" s="1277"/>
      <c r="C49" s="1277"/>
      <c r="D49" s="1277"/>
      <c r="E49" s="1277"/>
      <c r="F49" s="1277"/>
      <c r="G49" s="1277"/>
      <c r="H49" s="1277"/>
      <c r="I49" s="1277"/>
      <c r="J49" s="1277"/>
      <c r="K49" s="1277"/>
      <c r="L49" s="934"/>
      <c r="M49" s="917"/>
      <c r="N49" s="917"/>
      <c r="O49" s="917"/>
      <c r="P49" s="917"/>
      <c r="Q49" s="917"/>
    </row>
    <row r="50" spans="1:17">
      <c r="A50" s="1277"/>
      <c r="B50" s="1277"/>
      <c r="C50" s="1277"/>
      <c r="D50" s="1277"/>
      <c r="E50" s="1277"/>
      <c r="F50" s="1277"/>
      <c r="G50" s="1277"/>
      <c r="H50" s="1277"/>
      <c r="I50" s="1277"/>
      <c r="J50" s="1277"/>
      <c r="K50" s="1277"/>
      <c r="L50" s="917"/>
      <c r="M50" s="917"/>
      <c r="N50" s="917"/>
      <c r="O50" s="917"/>
      <c r="P50" s="917"/>
      <c r="Q50" s="917"/>
    </row>
    <row r="51" spans="1:17">
      <c r="A51" s="1277"/>
      <c r="B51" s="1277"/>
      <c r="C51" s="1277"/>
      <c r="D51" s="1277"/>
      <c r="E51" s="1277"/>
      <c r="F51" s="1277"/>
      <c r="G51" s="1277"/>
      <c r="H51" s="1277"/>
      <c r="I51" s="1277"/>
      <c r="J51" s="1277"/>
      <c r="K51" s="1277"/>
      <c r="L51" s="917"/>
      <c r="M51" s="917"/>
      <c r="N51" s="917"/>
      <c r="O51" s="917"/>
      <c r="P51" s="917"/>
      <c r="Q51" s="917"/>
    </row>
    <row r="52" spans="1:17">
      <c r="A52" s="1277"/>
      <c r="B52" s="1277"/>
      <c r="C52" s="1277"/>
      <c r="D52" s="1277"/>
      <c r="E52" s="1277"/>
      <c r="F52" s="1277"/>
      <c r="G52" s="1277"/>
      <c r="H52" s="1277"/>
      <c r="I52" s="1277"/>
      <c r="J52" s="1277"/>
      <c r="K52" s="1277"/>
      <c r="Q52" s="917"/>
    </row>
    <row r="53" spans="1:17">
      <c r="A53" s="1277"/>
      <c r="B53" s="1277"/>
      <c r="C53" s="1277"/>
      <c r="D53" s="1277"/>
      <c r="E53" s="1277"/>
      <c r="F53" s="1277"/>
      <c r="G53" s="1277"/>
      <c r="H53" s="1277"/>
      <c r="I53" s="1277"/>
      <c r="J53" s="1277"/>
      <c r="K53" s="1277"/>
      <c r="Q53" s="917"/>
    </row>
    <row r="54" spans="1:17">
      <c r="A54" s="1277"/>
      <c r="B54" s="1277"/>
      <c r="C54" s="1277"/>
      <c r="D54" s="1277"/>
      <c r="E54" s="1277"/>
      <c r="F54" s="1277"/>
      <c r="G54" s="1277"/>
      <c r="H54" s="1277"/>
      <c r="I54" s="1277"/>
      <c r="J54" s="1277"/>
      <c r="K54" s="1277"/>
      <c r="Q54" s="917"/>
    </row>
    <row r="55" spans="1:17">
      <c r="A55" s="1277"/>
      <c r="B55" s="1277"/>
      <c r="C55" s="1277"/>
      <c r="D55" s="1277"/>
      <c r="E55" s="1277"/>
      <c r="F55" s="1277"/>
      <c r="G55" s="1277"/>
      <c r="H55" s="1277"/>
      <c r="I55" s="1277"/>
      <c r="J55" s="1277"/>
      <c r="K55" s="1277"/>
      <c r="Q55" s="917"/>
    </row>
    <row r="56" spans="1:17">
      <c r="A56" s="1277"/>
      <c r="B56" s="1277"/>
      <c r="C56" s="1277"/>
      <c r="D56" s="1277"/>
      <c r="E56" s="1277"/>
      <c r="F56" s="1277"/>
      <c r="G56" s="1277"/>
      <c r="H56" s="1277"/>
      <c r="I56" s="1277"/>
      <c r="J56" s="1277"/>
      <c r="K56" s="1277"/>
      <c r="Q56" s="917"/>
    </row>
    <row r="57" spans="1:17">
      <c r="A57" s="1277"/>
      <c r="B57" s="1277"/>
      <c r="C57" s="1277"/>
      <c r="D57" s="1277"/>
      <c r="E57" s="1277"/>
      <c r="F57" s="1277"/>
      <c r="G57" s="1277"/>
      <c r="H57" s="1277"/>
      <c r="I57" s="1277"/>
      <c r="J57" s="1277"/>
      <c r="K57" s="1277"/>
      <c r="Q57" s="917"/>
    </row>
    <row r="58" spans="1:17">
      <c r="Q58" s="935"/>
    </row>
    <row r="62" spans="1:17" ht="12.75" customHeight="1"/>
    <row r="63" spans="1:17" ht="12.75" customHeight="1"/>
    <row r="65" ht="12.75" customHeight="1"/>
    <row r="80" ht="12.75" customHeight="1"/>
    <row r="81" ht="12.75" customHeight="1"/>
    <row r="82" ht="12.75" customHeight="1"/>
    <row r="98" spans="13:13">
      <c r="M98" s="925"/>
    </row>
    <row r="99" spans="13:13">
      <c r="M99" s="936"/>
    </row>
    <row r="100" spans="13:13">
      <c r="M100" s="926"/>
    </row>
    <row r="101" spans="13:13" ht="12.75" customHeight="1">
      <c r="M101" s="926"/>
    </row>
    <row r="102" spans="13:13">
      <c r="M102" s="926"/>
    </row>
    <row r="103" spans="13:13">
      <c r="M103" s="926"/>
    </row>
    <row r="104" spans="13:13">
      <c r="M104" s="937"/>
    </row>
    <row r="105" spans="13:13">
      <c r="M105" s="937"/>
    </row>
    <row r="106" spans="13:13">
      <c r="M106" s="925"/>
    </row>
    <row r="107" spans="13:13">
      <c r="M107" s="925"/>
    </row>
    <row r="108" spans="13:13">
      <c r="M108" s="925"/>
    </row>
    <row r="109" spans="13:13">
      <c r="M109" s="925"/>
    </row>
    <row r="110" spans="13:13">
      <c r="M110" s="925"/>
    </row>
    <row r="111" spans="13:13">
      <c r="M111" s="925"/>
    </row>
    <row r="112" spans="13:13">
      <c r="M112" s="925"/>
    </row>
    <row r="113" spans="13:13">
      <c r="M113" s="938"/>
    </row>
    <row r="115" spans="13:13">
      <c r="M115" s="925"/>
    </row>
    <row r="120" spans="13:13">
      <c r="M120" s="925"/>
    </row>
    <row r="121" spans="13:13">
      <c r="M121" s="936"/>
    </row>
    <row r="122" spans="13:13">
      <c r="M122" s="926"/>
    </row>
    <row r="123" spans="13:13" ht="12.75" customHeight="1">
      <c r="M123" s="926"/>
    </row>
    <row r="124" spans="13:13">
      <c r="M124" s="926"/>
    </row>
    <row r="125" spans="13:13">
      <c r="M125" s="926"/>
    </row>
    <row r="126" spans="13:13">
      <c r="M126" s="937"/>
    </row>
    <row r="127" spans="13:13">
      <c r="M127" s="937"/>
    </row>
    <row r="128" spans="13:13">
      <c r="M128" s="925"/>
    </row>
    <row r="129" spans="13:13">
      <c r="M129" s="925"/>
    </row>
    <row r="130" spans="13:13">
      <c r="M130" s="925"/>
    </row>
    <row r="131" spans="13:13">
      <c r="M131" s="925"/>
    </row>
    <row r="132" spans="13:13">
      <c r="M132" s="925"/>
    </row>
    <row r="133" spans="13:13">
      <c r="M133" s="925"/>
    </row>
    <row r="134" spans="13:13">
      <c r="M134" s="925"/>
    </row>
    <row r="135" spans="13:13">
      <c r="M135" s="938"/>
    </row>
    <row r="137" spans="13:13">
      <c r="M137" s="925"/>
    </row>
    <row r="142" spans="13:13">
      <c r="M142" s="925"/>
    </row>
    <row r="143" spans="13:13">
      <c r="M143" s="936"/>
    </row>
    <row r="144" spans="13:13">
      <c r="M144" s="926"/>
    </row>
    <row r="145" spans="13:13" ht="12.75" customHeight="1">
      <c r="M145" s="926"/>
    </row>
    <row r="146" spans="13:13">
      <c r="M146" s="926"/>
    </row>
    <row r="147" spans="13:13">
      <c r="M147" s="926"/>
    </row>
    <row r="148" spans="13:13">
      <c r="M148" s="937"/>
    </row>
    <row r="149" spans="13:13">
      <c r="M149" s="937"/>
    </row>
    <row r="150" spans="13:13">
      <c r="M150" s="925"/>
    </row>
    <row r="151" spans="13:13">
      <c r="M151" s="925"/>
    </row>
    <row r="152" spans="13:13">
      <c r="M152" s="925"/>
    </row>
    <row r="153" spans="13:13">
      <c r="M153" s="925"/>
    </row>
    <row r="154" spans="13:13">
      <c r="M154" s="925"/>
    </row>
    <row r="155" spans="13:13">
      <c r="M155" s="925"/>
    </row>
    <row r="156" spans="13:13">
      <c r="M156" s="925"/>
    </row>
    <row r="157" spans="13:13">
      <c r="M157" s="938"/>
    </row>
    <row r="159" spans="13:13">
      <c r="M159" s="925"/>
    </row>
    <row r="164" spans="13:13">
      <c r="M164" s="925"/>
    </row>
    <row r="165" spans="13:13">
      <c r="M165" s="936"/>
    </row>
    <row r="166" spans="13:13">
      <c r="M166" s="926"/>
    </row>
    <row r="167" spans="13:13" ht="12.75" customHeight="1">
      <c r="M167" s="926"/>
    </row>
    <row r="168" spans="13:13">
      <c r="M168" s="926"/>
    </row>
    <row r="169" spans="13:13">
      <c r="M169" s="926"/>
    </row>
    <row r="170" spans="13:13">
      <c r="M170" s="937"/>
    </row>
    <row r="171" spans="13:13">
      <c r="M171" s="937"/>
    </row>
    <row r="172" spans="13:13">
      <c r="M172" s="925"/>
    </row>
    <row r="173" spans="13:13">
      <c r="M173" s="925"/>
    </row>
    <row r="174" spans="13:13">
      <c r="M174" s="925"/>
    </row>
    <row r="175" spans="13:13">
      <c r="M175" s="925"/>
    </row>
    <row r="176" spans="13:13">
      <c r="M176" s="925"/>
    </row>
    <row r="177" spans="13:13">
      <c r="M177" s="925"/>
    </row>
    <row r="178" spans="13:13">
      <c r="M178" s="925"/>
    </row>
    <row r="179" spans="13:13">
      <c r="M179" s="938"/>
    </row>
    <row r="181" spans="13:13">
      <c r="M181" s="925"/>
    </row>
    <row r="186" spans="13:13">
      <c r="M186" s="925"/>
    </row>
    <row r="187" spans="13:13">
      <c r="M187" s="936"/>
    </row>
    <row r="188" spans="13:13" ht="12.75" customHeight="1">
      <c r="M188" s="926"/>
    </row>
    <row r="189" spans="13:13" ht="12.75" customHeight="1">
      <c r="M189" s="926"/>
    </row>
    <row r="190" spans="13:13">
      <c r="M190" s="926"/>
    </row>
    <row r="191" spans="13:13" ht="12.75" customHeight="1">
      <c r="M191" s="926"/>
    </row>
    <row r="192" spans="13:13">
      <c r="M192" s="937"/>
    </row>
    <row r="193" spans="13:13">
      <c r="M193" s="937"/>
    </row>
    <row r="194" spans="13:13">
      <c r="M194" s="925"/>
    </row>
    <row r="195" spans="13:13">
      <c r="M195" s="925"/>
    </row>
    <row r="196" spans="13:13">
      <c r="M196" s="925"/>
    </row>
    <row r="197" spans="13:13">
      <c r="M197" s="925"/>
    </row>
    <row r="198" spans="13:13">
      <c r="M198" s="925"/>
    </row>
    <row r="199" spans="13:13">
      <c r="M199" s="925"/>
    </row>
    <row r="200" spans="13:13">
      <c r="M200" s="925"/>
    </row>
    <row r="201" spans="13:13">
      <c r="M201" s="938"/>
    </row>
    <row r="203" spans="13:13">
      <c r="M203" s="925"/>
    </row>
  </sheetData>
  <mergeCells count="16">
    <mergeCell ref="A3:K3"/>
    <mergeCell ref="A4:K4"/>
    <mergeCell ref="A5:K5"/>
    <mergeCell ref="A6:K6"/>
    <mergeCell ref="B9:M9"/>
    <mergeCell ref="B14:C14"/>
    <mergeCell ref="B45:C46"/>
    <mergeCell ref="A49:K57"/>
    <mergeCell ref="C15:E15"/>
    <mergeCell ref="C16:C18"/>
    <mergeCell ref="D16:D18"/>
    <mergeCell ref="E16:E18"/>
    <mergeCell ref="I16:I18"/>
    <mergeCell ref="F17:F18"/>
    <mergeCell ref="H17:H18"/>
    <mergeCell ref="B39:C39"/>
  </mergeCells>
  <pageMargins left="0.32" right="0.25" top="1" bottom="0.43" header="0.75" footer="0.17"/>
  <pageSetup scale="63" orientation="landscape" r:id="rId1"/>
  <headerFooter alignWithMargins="0">
    <oddHeader>&amp;R&amp;"Arial,Bold"Formula Rate 
&amp;A
Page &amp;P of &amp;N</oddHeader>
  </headerFooter>
  <rowBreaks count="2" manualBreakCount="2">
    <brk id="76" max="18" man="1"/>
    <brk id="158" min="1" max="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codeName="Sheet20">
    <pageSetUpPr fitToPage="1"/>
  </sheetPr>
  <dimension ref="A1:S56"/>
  <sheetViews>
    <sheetView tabSelected="1" defaultGridColor="0" view="pageBreakPreview" colorId="22" zoomScale="60" zoomScaleNormal="70" workbookViewId="0">
      <selection activeCell="D9" sqref="D9"/>
    </sheetView>
  </sheetViews>
  <sheetFormatPr defaultColWidth="14.7109375" defaultRowHeight="12.75"/>
  <cols>
    <col min="1" max="1" width="33.140625" customWidth="1"/>
    <col min="2" max="2" width="11" customWidth="1"/>
    <col min="3" max="3" width="16.85546875" customWidth="1"/>
    <col min="4" max="4" width="16.7109375" customWidth="1"/>
    <col min="5" max="5" width="14.7109375" customWidth="1"/>
    <col min="6" max="6" width="4.85546875" customWidth="1"/>
    <col min="7" max="7" width="14.7109375" customWidth="1"/>
    <col min="8" max="8" width="18.28515625" customWidth="1"/>
    <col min="9" max="9" width="15.5703125" customWidth="1"/>
    <col min="10" max="10" width="6.140625" customWidth="1"/>
    <col min="11" max="11" width="14.7109375" customWidth="1"/>
    <col min="12" max="12" width="16.140625" customWidth="1"/>
    <col min="13" max="13" width="14.7109375" customWidth="1"/>
    <col min="14" max="14" width="4.85546875" customWidth="1"/>
    <col min="15" max="15" width="18.5703125" customWidth="1"/>
    <col min="257" max="257" width="33.140625" customWidth="1"/>
    <col min="258" max="258" width="11" customWidth="1"/>
    <col min="259" max="259" width="16.85546875" customWidth="1"/>
    <col min="260" max="260" width="16.7109375" customWidth="1"/>
    <col min="261" max="261" width="14.7109375" customWidth="1"/>
    <col min="262" max="262" width="4.85546875" customWidth="1"/>
    <col min="263" max="263" width="14.7109375" customWidth="1"/>
    <col min="264" max="264" width="18.28515625" customWidth="1"/>
    <col min="265" max="265" width="15.5703125" customWidth="1"/>
    <col min="266" max="266" width="6.140625" customWidth="1"/>
    <col min="267" max="267" width="14.7109375" customWidth="1"/>
    <col min="268" max="268" width="16.140625" customWidth="1"/>
    <col min="269" max="269" width="14.7109375" customWidth="1"/>
    <col min="270" max="270" width="4.85546875" customWidth="1"/>
    <col min="271" max="271" width="18.5703125" customWidth="1"/>
    <col min="513" max="513" width="33.140625" customWidth="1"/>
    <col min="514" max="514" width="11" customWidth="1"/>
    <col min="515" max="515" width="16.85546875" customWidth="1"/>
    <col min="516" max="516" width="16.7109375" customWidth="1"/>
    <col min="517" max="517" width="14.7109375" customWidth="1"/>
    <col min="518" max="518" width="4.85546875" customWidth="1"/>
    <col min="519" max="519" width="14.7109375" customWidth="1"/>
    <col min="520" max="520" width="18.28515625" customWidth="1"/>
    <col min="521" max="521" width="15.5703125" customWidth="1"/>
    <col min="522" max="522" width="6.140625" customWidth="1"/>
    <col min="523" max="523" width="14.7109375" customWidth="1"/>
    <col min="524" max="524" width="16.140625" customWidth="1"/>
    <col min="525" max="525" width="14.7109375" customWidth="1"/>
    <col min="526" max="526" width="4.85546875" customWidth="1"/>
    <col min="527" max="527" width="18.5703125" customWidth="1"/>
    <col min="769" max="769" width="33.140625" customWidth="1"/>
    <col min="770" max="770" width="11" customWidth="1"/>
    <col min="771" max="771" width="16.85546875" customWidth="1"/>
    <col min="772" max="772" width="16.7109375" customWidth="1"/>
    <col min="773" max="773" width="14.7109375" customWidth="1"/>
    <col min="774" max="774" width="4.85546875" customWidth="1"/>
    <col min="775" max="775" width="14.7109375" customWidth="1"/>
    <col min="776" max="776" width="18.28515625" customWidth="1"/>
    <col min="777" max="777" width="15.5703125" customWidth="1"/>
    <col min="778" max="778" width="6.140625" customWidth="1"/>
    <col min="779" max="779" width="14.7109375" customWidth="1"/>
    <col min="780" max="780" width="16.140625" customWidth="1"/>
    <col min="781" max="781" width="14.7109375" customWidth="1"/>
    <col min="782" max="782" width="4.85546875" customWidth="1"/>
    <col min="783" max="783" width="18.5703125" customWidth="1"/>
    <col min="1025" max="1025" width="33.140625" customWidth="1"/>
    <col min="1026" max="1026" width="11" customWidth="1"/>
    <col min="1027" max="1027" width="16.85546875" customWidth="1"/>
    <col min="1028" max="1028" width="16.7109375" customWidth="1"/>
    <col min="1029" max="1029" width="14.7109375" customWidth="1"/>
    <col min="1030" max="1030" width="4.85546875" customWidth="1"/>
    <col min="1031" max="1031" width="14.7109375" customWidth="1"/>
    <col min="1032" max="1032" width="18.28515625" customWidth="1"/>
    <col min="1033" max="1033" width="15.5703125" customWidth="1"/>
    <col min="1034" max="1034" width="6.140625" customWidth="1"/>
    <col min="1035" max="1035" width="14.7109375" customWidth="1"/>
    <col min="1036" max="1036" width="16.140625" customWidth="1"/>
    <col min="1037" max="1037" width="14.7109375" customWidth="1"/>
    <col min="1038" max="1038" width="4.85546875" customWidth="1"/>
    <col min="1039" max="1039" width="18.5703125" customWidth="1"/>
    <col min="1281" max="1281" width="33.140625" customWidth="1"/>
    <col min="1282" max="1282" width="11" customWidth="1"/>
    <col min="1283" max="1283" width="16.85546875" customWidth="1"/>
    <col min="1284" max="1284" width="16.7109375" customWidth="1"/>
    <col min="1285" max="1285" width="14.7109375" customWidth="1"/>
    <col min="1286" max="1286" width="4.85546875" customWidth="1"/>
    <col min="1287" max="1287" width="14.7109375" customWidth="1"/>
    <col min="1288" max="1288" width="18.28515625" customWidth="1"/>
    <col min="1289" max="1289" width="15.5703125" customWidth="1"/>
    <col min="1290" max="1290" width="6.140625" customWidth="1"/>
    <col min="1291" max="1291" width="14.7109375" customWidth="1"/>
    <col min="1292" max="1292" width="16.140625" customWidth="1"/>
    <col min="1293" max="1293" width="14.7109375" customWidth="1"/>
    <col min="1294" max="1294" width="4.85546875" customWidth="1"/>
    <col min="1295" max="1295" width="18.5703125" customWidth="1"/>
    <col min="1537" max="1537" width="33.140625" customWidth="1"/>
    <col min="1538" max="1538" width="11" customWidth="1"/>
    <col min="1539" max="1539" width="16.85546875" customWidth="1"/>
    <col min="1540" max="1540" width="16.7109375" customWidth="1"/>
    <col min="1541" max="1541" width="14.7109375" customWidth="1"/>
    <col min="1542" max="1542" width="4.85546875" customWidth="1"/>
    <col min="1543" max="1543" width="14.7109375" customWidth="1"/>
    <col min="1544" max="1544" width="18.28515625" customWidth="1"/>
    <col min="1545" max="1545" width="15.5703125" customWidth="1"/>
    <col min="1546" max="1546" width="6.140625" customWidth="1"/>
    <col min="1547" max="1547" width="14.7109375" customWidth="1"/>
    <col min="1548" max="1548" width="16.140625" customWidth="1"/>
    <col min="1549" max="1549" width="14.7109375" customWidth="1"/>
    <col min="1550" max="1550" width="4.85546875" customWidth="1"/>
    <col min="1551" max="1551" width="18.5703125" customWidth="1"/>
    <col min="1793" max="1793" width="33.140625" customWidth="1"/>
    <col min="1794" max="1794" width="11" customWidth="1"/>
    <col min="1795" max="1795" width="16.85546875" customWidth="1"/>
    <col min="1796" max="1796" width="16.7109375" customWidth="1"/>
    <col min="1797" max="1797" width="14.7109375" customWidth="1"/>
    <col min="1798" max="1798" width="4.85546875" customWidth="1"/>
    <col min="1799" max="1799" width="14.7109375" customWidth="1"/>
    <col min="1800" max="1800" width="18.28515625" customWidth="1"/>
    <col min="1801" max="1801" width="15.5703125" customWidth="1"/>
    <col min="1802" max="1802" width="6.140625" customWidth="1"/>
    <col min="1803" max="1803" width="14.7109375" customWidth="1"/>
    <col min="1804" max="1804" width="16.140625" customWidth="1"/>
    <col min="1805" max="1805" width="14.7109375" customWidth="1"/>
    <col min="1806" max="1806" width="4.85546875" customWidth="1"/>
    <col min="1807" max="1807" width="18.5703125" customWidth="1"/>
    <col min="2049" max="2049" width="33.140625" customWidth="1"/>
    <col min="2050" max="2050" width="11" customWidth="1"/>
    <col min="2051" max="2051" width="16.85546875" customWidth="1"/>
    <col min="2052" max="2052" width="16.7109375" customWidth="1"/>
    <col min="2053" max="2053" width="14.7109375" customWidth="1"/>
    <col min="2054" max="2054" width="4.85546875" customWidth="1"/>
    <col min="2055" max="2055" width="14.7109375" customWidth="1"/>
    <col min="2056" max="2056" width="18.28515625" customWidth="1"/>
    <col min="2057" max="2057" width="15.5703125" customWidth="1"/>
    <col min="2058" max="2058" width="6.140625" customWidth="1"/>
    <col min="2059" max="2059" width="14.7109375" customWidth="1"/>
    <col min="2060" max="2060" width="16.140625" customWidth="1"/>
    <col min="2061" max="2061" width="14.7109375" customWidth="1"/>
    <col min="2062" max="2062" width="4.85546875" customWidth="1"/>
    <col min="2063" max="2063" width="18.5703125" customWidth="1"/>
    <col min="2305" max="2305" width="33.140625" customWidth="1"/>
    <col min="2306" max="2306" width="11" customWidth="1"/>
    <col min="2307" max="2307" width="16.85546875" customWidth="1"/>
    <col min="2308" max="2308" width="16.7109375" customWidth="1"/>
    <col min="2309" max="2309" width="14.7109375" customWidth="1"/>
    <col min="2310" max="2310" width="4.85546875" customWidth="1"/>
    <col min="2311" max="2311" width="14.7109375" customWidth="1"/>
    <col min="2312" max="2312" width="18.28515625" customWidth="1"/>
    <col min="2313" max="2313" width="15.5703125" customWidth="1"/>
    <col min="2314" max="2314" width="6.140625" customWidth="1"/>
    <col min="2315" max="2315" width="14.7109375" customWidth="1"/>
    <col min="2316" max="2316" width="16.140625" customWidth="1"/>
    <col min="2317" max="2317" width="14.7109375" customWidth="1"/>
    <col min="2318" max="2318" width="4.85546875" customWidth="1"/>
    <col min="2319" max="2319" width="18.5703125" customWidth="1"/>
    <col min="2561" max="2561" width="33.140625" customWidth="1"/>
    <col min="2562" max="2562" width="11" customWidth="1"/>
    <col min="2563" max="2563" width="16.85546875" customWidth="1"/>
    <col min="2564" max="2564" width="16.7109375" customWidth="1"/>
    <col min="2565" max="2565" width="14.7109375" customWidth="1"/>
    <col min="2566" max="2566" width="4.85546875" customWidth="1"/>
    <col min="2567" max="2567" width="14.7109375" customWidth="1"/>
    <col min="2568" max="2568" width="18.28515625" customWidth="1"/>
    <col min="2569" max="2569" width="15.5703125" customWidth="1"/>
    <col min="2570" max="2570" width="6.140625" customWidth="1"/>
    <col min="2571" max="2571" width="14.7109375" customWidth="1"/>
    <col min="2572" max="2572" width="16.140625" customWidth="1"/>
    <col min="2573" max="2573" width="14.7109375" customWidth="1"/>
    <col min="2574" max="2574" width="4.85546875" customWidth="1"/>
    <col min="2575" max="2575" width="18.5703125" customWidth="1"/>
    <col min="2817" max="2817" width="33.140625" customWidth="1"/>
    <col min="2818" max="2818" width="11" customWidth="1"/>
    <col min="2819" max="2819" width="16.85546875" customWidth="1"/>
    <col min="2820" max="2820" width="16.7109375" customWidth="1"/>
    <col min="2821" max="2821" width="14.7109375" customWidth="1"/>
    <col min="2822" max="2822" width="4.85546875" customWidth="1"/>
    <col min="2823" max="2823" width="14.7109375" customWidth="1"/>
    <col min="2824" max="2824" width="18.28515625" customWidth="1"/>
    <col min="2825" max="2825" width="15.5703125" customWidth="1"/>
    <col min="2826" max="2826" width="6.140625" customWidth="1"/>
    <col min="2827" max="2827" width="14.7109375" customWidth="1"/>
    <col min="2828" max="2828" width="16.140625" customWidth="1"/>
    <col min="2829" max="2829" width="14.7109375" customWidth="1"/>
    <col min="2830" max="2830" width="4.85546875" customWidth="1"/>
    <col min="2831" max="2831" width="18.5703125" customWidth="1"/>
    <col min="3073" max="3073" width="33.140625" customWidth="1"/>
    <col min="3074" max="3074" width="11" customWidth="1"/>
    <col min="3075" max="3075" width="16.85546875" customWidth="1"/>
    <col min="3076" max="3076" width="16.7109375" customWidth="1"/>
    <col min="3077" max="3077" width="14.7109375" customWidth="1"/>
    <col min="3078" max="3078" width="4.85546875" customWidth="1"/>
    <col min="3079" max="3079" width="14.7109375" customWidth="1"/>
    <col min="3080" max="3080" width="18.28515625" customWidth="1"/>
    <col min="3081" max="3081" width="15.5703125" customWidth="1"/>
    <col min="3082" max="3082" width="6.140625" customWidth="1"/>
    <col min="3083" max="3083" width="14.7109375" customWidth="1"/>
    <col min="3084" max="3084" width="16.140625" customWidth="1"/>
    <col min="3085" max="3085" width="14.7109375" customWidth="1"/>
    <col min="3086" max="3086" width="4.85546875" customWidth="1"/>
    <col min="3087" max="3087" width="18.5703125" customWidth="1"/>
    <col min="3329" max="3329" width="33.140625" customWidth="1"/>
    <col min="3330" max="3330" width="11" customWidth="1"/>
    <col min="3331" max="3331" width="16.85546875" customWidth="1"/>
    <col min="3332" max="3332" width="16.7109375" customWidth="1"/>
    <col min="3333" max="3333" width="14.7109375" customWidth="1"/>
    <col min="3334" max="3334" width="4.85546875" customWidth="1"/>
    <col min="3335" max="3335" width="14.7109375" customWidth="1"/>
    <col min="3336" max="3336" width="18.28515625" customWidth="1"/>
    <col min="3337" max="3337" width="15.5703125" customWidth="1"/>
    <col min="3338" max="3338" width="6.140625" customWidth="1"/>
    <col min="3339" max="3339" width="14.7109375" customWidth="1"/>
    <col min="3340" max="3340" width="16.140625" customWidth="1"/>
    <col min="3341" max="3341" width="14.7109375" customWidth="1"/>
    <col min="3342" max="3342" width="4.85546875" customWidth="1"/>
    <col min="3343" max="3343" width="18.5703125" customWidth="1"/>
    <col min="3585" max="3585" width="33.140625" customWidth="1"/>
    <col min="3586" max="3586" width="11" customWidth="1"/>
    <col min="3587" max="3587" width="16.85546875" customWidth="1"/>
    <col min="3588" max="3588" width="16.7109375" customWidth="1"/>
    <col min="3589" max="3589" width="14.7109375" customWidth="1"/>
    <col min="3590" max="3590" width="4.85546875" customWidth="1"/>
    <col min="3591" max="3591" width="14.7109375" customWidth="1"/>
    <col min="3592" max="3592" width="18.28515625" customWidth="1"/>
    <col min="3593" max="3593" width="15.5703125" customWidth="1"/>
    <col min="3594" max="3594" width="6.140625" customWidth="1"/>
    <col min="3595" max="3595" width="14.7109375" customWidth="1"/>
    <col min="3596" max="3596" width="16.140625" customWidth="1"/>
    <col min="3597" max="3597" width="14.7109375" customWidth="1"/>
    <col min="3598" max="3598" width="4.85546875" customWidth="1"/>
    <col min="3599" max="3599" width="18.5703125" customWidth="1"/>
    <col min="3841" max="3841" width="33.140625" customWidth="1"/>
    <col min="3842" max="3842" width="11" customWidth="1"/>
    <col min="3843" max="3843" width="16.85546875" customWidth="1"/>
    <col min="3844" max="3844" width="16.7109375" customWidth="1"/>
    <col min="3845" max="3845" width="14.7109375" customWidth="1"/>
    <col min="3846" max="3846" width="4.85546875" customWidth="1"/>
    <col min="3847" max="3847" width="14.7109375" customWidth="1"/>
    <col min="3848" max="3848" width="18.28515625" customWidth="1"/>
    <col min="3849" max="3849" width="15.5703125" customWidth="1"/>
    <col min="3850" max="3850" width="6.140625" customWidth="1"/>
    <col min="3851" max="3851" width="14.7109375" customWidth="1"/>
    <col min="3852" max="3852" width="16.140625" customWidth="1"/>
    <col min="3853" max="3853" width="14.7109375" customWidth="1"/>
    <col min="3854" max="3854" width="4.85546875" customWidth="1"/>
    <col min="3855" max="3855" width="18.5703125" customWidth="1"/>
    <col min="4097" max="4097" width="33.140625" customWidth="1"/>
    <col min="4098" max="4098" width="11" customWidth="1"/>
    <col min="4099" max="4099" width="16.85546875" customWidth="1"/>
    <col min="4100" max="4100" width="16.7109375" customWidth="1"/>
    <col min="4101" max="4101" width="14.7109375" customWidth="1"/>
    <col min="4102" max="4102" width="4.85546875" customWidth="1"/>
    <col min="4103" max="4103" width="14.7109375" customWidth="1"/>
    <col min="4104" max="4104" width="18.28515625" customWidth="1"/>
    <col min="4105" max="4105" width="15.5703125" customWidth="1"/>
    <col min="4106" max="4106" width="6.140625" customWidth="1"/>
    <col min="4107" max="4107" width="14.7109375" customWidth="1"/>
    <col min="4108" max="4108" width="16.140625" customWidth="1"/>
    <col min="4109" max="4109" width="14.7109375" customWidth="1"/>
    <col min="4110" max="4110" width="4.85546875" customWidth="1"/>
    <col min="4111" max="4111" width="18.5703125" customWidth="1"/>
    <col min="4353" max="4353" width="33.140625" customWidth="1"/>
    <col min="4354" max="4354" width="11" customWidth="1"/>
    <col min="4355" max="4355" width="16.85546875" customWidth="1"/>
    <col min="4356" max="4356" width="16.7109375" customWidth="1"/>
    <col min="4357" max="4357" width="14.7109375" customWidth="1"/>
    <col min="4358" max="4358" width="4.85546875" customWidth="1"/>
    <col min="4359" max="4359" width="14.7109375" customWidth="1"/>
    <col min="4360" max="4360" width="18.28515625" customWidth="1"/>
    <col min="4361" max="4361" width="15.5703125" customWidth="1"/>
    <col min="4362" max="4362" width="6.140625" customWidth="1"/>
    <col min="4363" max="4363" width="14.7109375" customWidth="1"/>
    <col min="4364" max="4364" width="16.140625" customWidth="1"/>
    <col min="4365" max="4365" width="14.7109375" customWidth="1"/>
    <col min="4366" max="4366" width="4.85546875" customWidth="1"/>
    <col min="4367" max="4367" width="18.5703125" customWidth="1"/>
    <col min="4609" max="4609" width="33.140625" customWidth="1"/>
    <col min="4610" max="4610" width="11" customWidth="1"/>
    <col min="4611" max="4611" width="16.85546875" customWidth="1"/>
    <col min="4612" max="4612" width="16.7109375" customWidth="1"/>
    <col min="4613" max="4613" width="14.7109375" customWidth="1"/>
    <col min="4614" max="4614" width="4.85546875" customWidth="1"/>
    <col min="4615" max="4615" width="14.7109375" customWidth="1"/>
    <col min="4616" max="4616" width="18.28515625" customWidth="1"/>
    <col min="4617" max="4617" width="15.5703125" customWidth="1"/>
    <col min="4618" max="4618" width="6.140625" customWidth="1"/>
    <col min="4619" max="4619" width="14.7109375" customWidth="1"/>
    <col min="4620" max="4620" width="16.140625" customWidth="1"/>
    <col min="4621" max="4621" width="14.7109375" customWidth="1"/>
    <col min="4622" max="4622" width="4.85546875" customWidth="1"/>
    <col min="4623" max="4623" width="18.5703125" customWidth="1"/>
    <col min="4865" max="4865" width="33.140625" customWidth="1"/>
    <col min="4866" max="4866" width="11" customWidth="1"/>
    <col min="4867" max="4867" width="16.85546875" customWidth="1"/>
    <col min="4868" max="4868" width="16.7109375" customWidth="1"/>
    <col min="4869" max="4869" width="14.7109375" customWidth="1"/>
    <col min="4870" max="4870" width="4.85546875" customWidth="1"/>
    <col min="4871" max="4871" width="14.7109375" customWidth="1"/>
    <col min="4872" max="4872" width="18.28515625" customWidth="1"/>
    <col min="4873" max="4873" width="15.5703125" customWidth="1"/>
    <col min="4874" max="4874" width="6.140625" customWidth="1"/>
    <col min="4875" max="4875" width="14.7109375" customWidth="1"/>
    <col min="4876" max="4876" width="16.140625" customWidth="1"/>
    <col min="4877" max="4877" width="14.7109375" customWidth="1"/>
    <col min="4878" max="4878" width="4.85546875" customWidth="1"/>
    <col min="4879" max="4879" width="18.5703125" customWidth="1"/>
    <col min="5121" max="5121" width="33.140625" customWidth="1"/>
    <col min="5122" max="5122" width="11" customWidth="1"/>
    <col min="5123" max="5123" width="16.85546875" customWidth="1"/>
    <col min="5124" max="5124" width="16.7109375" customWidth="1"/>
    <col min="5125" max="5125" width="14.7109375" customWidth="1"/>
    <col min="5126" max="5126" width="4.85546875" customWidth="1"/>
    <col min="5127" max="5127" width="14.7109375" customWidth="1"/>
    <col min="5128" max="5128" width="18.28515625" customWidth="1"/>
    <col min="5129" max="5129" width="15.5703125" customWidth="1"/>
    <col min="5130" max="5130" width="6.140625" customWidth="1"/>
    <col min="5131" max="5131" width="14.7109375" customWidth="1"/>
    <col min="5132" max="5132" width="16.140625" customWidth="1"/>
    <col min="5133" max="5133" width="14.7109375" customWidth="1"/>
    <col min="5134" max="5134" width="4.85546875" customWidth="1"/>
    <col min="5135" max="5135" width="18.5703125" customWidth="1"/>
    <col min="5377" max="5377" width="33.140625" customWidth="1"/>
    <col min="5378" max="5378" width="11" customWidth="1"/>
    <col min="5379" max="5379" width="16.85546875" customWidth="1"/>
    <col min="5380" max="5380" width="16.7109375" customWidth="1"/>
    <col min="5381" max="5381" width="14.7109375" customWidth="1"/>
    <col min="5382" max="5382" width="4.85546875" customWidth="1"/>
    <col min="5383" max="5383" width="14.7109375" customWidth="1"/>
    <col min="5384" max="5384" width="18.28515625" customWidth="1"/>
    <col min="5385" max="5385" width="15.5703125" customWidth="1"/>
    <col min="5386" max="5386" width="6.140625" customWidth="1"/>
    <col min="5387" max="5387" width="14.7109375" customWidth="1"/>
    <col min="5388" max="5388" width="16.140625" customWidth="1"/>
    <col min="5389" max="5389" width="14.7109375" customWidth="1"/>
    <col min="5390" max="5390" width="4.85546875" customWidth="1"/>
    <col min="5391" max="5391" width="18.5703125" customWidth="1"/>
    <col min="5633" max="5633" width="33.140625" customWidth="1"/>
    <col min="5634" max="5634" width="11" customWidth="1"/>
    <col min="5635" max="5635" width="16.85546875" customWidth="1"/>
    <col min="5636" max="5636" width="16.7109375" customWidth="1"/>
    <col min="5637" max="5637" width="14.7109375" customWidth="1"/>
    <col min="5638" max="5638" width="4.85546875" customWidth="1"/>
    <col min="5639" max="5639" width="14.7109375" customWidth="1"/>
    <col min="5640" max="5640" width="18.28515625" customWidth="1"/>
    <col min="5641" max="5641" width="15.5703125" customWidth="1"/>
    <col min="5642" max="5642" width="6.140625" customWidth="1"/>
    <col min="5643" max="5643" width="14.7109375" customWidth="1"/>
    <col min="5644" max="5644" width="16.140625" customWidth="1"/>
    <col min="5645" max="5645" width="14.7109375" customWidth="1"/>
    <col min="5646" max="5646" width="4.85546875" customWidth="1"/>
    <col min="5647" max="5647" width="18.5703125" customWidth="1"/>
    <col min="5889" max="5889" width="33.140625" customWidth="1"/>
    <col min="5890" max="5890" width="11" customWidth="1"/>
    <col min="5891" max="5891" width="16.85546875" customWidth="1"/>
    <col min="5892" max="5892" width="16.7109375" customWidth="1"/>
    <col min="5893" max="5893" width="14.7109375" customWidth="1"/>
    <col min="5894" max="5894" width="4.85546875" customWidth="1"/>
    <col min="5895" max="5895" width="14.7109375" customWidth="1"/>
    <col min="5896" max="5896" width="18.28515625" customWidth="1"/>
    <col min="5897" max="5897" width="15.5703125" customWidth="1"/>
    <col min="5898" max="5898" width="6.140625" customWidth="1"/>
    <col min="5899" max="5899" width="14.7109375" customWidth="1"/>
    <col min="5900" max="5900" width="16.140625" customWidth="1"/>
    <col min="5901" max="5901" width="14.7109375" customWidth="1"/>
    <col min="5902" max="5902" width="4.85546875" customWidth="1"/>
    <col min="5903" max="5903" width="18.5703125" customWidth="1"/>
    <col min="6145" max="6145" width="33.140625" customWidth="1"/>
    <col min="6146" max="6146" width="11" customWidth="1"/>
    <col min="6147" max="6147" width="16.85546875" customWidth="1"/>
    <col min="6148" max="6148" width="16.7109375" customWidth="1"/>
    <col min="6149" max="6149" width="14.7109375" customWidth="1"/>
    <col min="6150" max="6150" width="4.85546875" customWidth="1"/>
    <col min="6151" max="6151" width="14.7109375" customWidth="1"/>
    <col min="6152" max="6152" width="18.28515625" customWidth="1"/>
    <col min="6153" max="6153" width="15.5703125" customWidth="1"/>
    <col min="6154" max="6154" width="6.140625" customWidth="1"/>
    <col min="6155" max="6155" width="14.7109375" customWidth="1"/>
    <col min="6156" max="6156" width="16.140625" customWidth="1"/>
    <col min="6157" max="6157" width="14.7109375" customWidth="1"/>
    <col min="6158" max="6158" width="4.85546875" customWidth="1"/>
    <col min="6159" max="6159" width="18.5703125" customWidth="1"/>
    <col min="6401" max="6401" width="33.140625" customWidth="1"/>
    <col min="6402" max="6402" width="11" customWidth="1"/>
    <col min="6403" max="6403" width="16.85546875" customWidth="1"/>
    <col min="6404" max="6404" width="16.7109375" customWidth="1"/>
    <col min="6405" max="6405" width="14.7109375" customWidth="1"/>
    <col min="6406" max="6406" width="4.85546875" customWidth="1"/>
    <col min="6407" max="6407" width="14.7109375" customWidth="1"/>
    <col min="6408" max="6408" width="18.28515625" customWidth="1"/>
    <col min="6409" max="6409" width="15.5703125" customWidth="1"/>
    <col min="6410" max="6410" width="6.140625" customWidth="1"/>
    <col min="6411" max="6411" width="14.7109375" customWidth="1"/>
    <col min="6412" max="6412" width="16.140625" customWidth="1"/>
    <col min="6413" max="6413" width="14.7109375" customWidth="1"/>
    <col min="6414" max="6414" width="4.85546875" customWidth="1"/>
    <col min="6415" max="6415" width="18.5703125" customWidth="1"/>
    <col min="6657" max="6657" width="33.140625" customWidth="1"/>
    <col min="6658" max="6658" width="11" customWidth="1"/>
    <col min="6659" max="6659" width="16.85546875" customWidth="1"/>
    <col min="6660" max="6660" width="16.7109375" customWidth="1"/>
    <col min="6661" max="6661" width="14.7109375" customWidth="1"/>
    <col min="6662" max="6662" width="4.85546875" customWidth="1"/>
    <col min="6663" max="6663" width="14.7109375" customWidth="1"/>
    <col min="6664" max="6664" width="18.28515625" customWidth="1"/>
    <col min="6665" max="6665" width="15.5703125" customWidth="1"/>
    <col min="6666" max="6666" width="6.140625" customWidth="1"/>
    <col min="6667" max="6667" width="14.7109375" customWidth="1"/>
    <col min="6668" max="6668" width="16.140625" customWidth="1"/>
    <col min="6669" max="6669" width="14.7109375" customWidth="1"/>
    <col min="6670" max="6670" width="4.85546875" customWidth="1"/>
    <col min="6671" max="6671" width="18.5703125" customWidth="1"/>
    <col min="6913" max="6913" width="33.140625" customWidth="1"/>
    <col min="6914" max="6914" width="11" customWidth="1"/>
    <col min="6915" max="6915" width="16.85546875" customWidth="1"/>
    <col min="6916" max="6916" width="16.7109375" customWidth="1"/>
    <col min="6917" max="6917" width="14.7109375" customWidth="1"/>
    <col min="6918" max="6918" width="4.85546875" customWidth="1"/>
    <col min="6919" max="6919" width="14.7109375" customWidth="1"/>
    <col min="6920" max="6920" width="18.28515625" customWidth="1"/>
    <col min="6921" max="6921" width="15.5703125" customWidth="1"/>
    <col min="6922" max="6922" width="6.140625" customWidth="1"/>
    <col min="6923" max="6923" width="14.7109375" customWidth="1"/>
    <col min="6924" max="6924" width="16.140625" customWidth="1"/>
    <col min="6925" max="6925" width="14.7109375" customWidth="1"/>
    <col min="6926" max="6926" width="4.85546875" customWidth="1"/>
    <col min="6927" max="6927" width="18.5703125" customWidth="1"/>
    <col min="7169" max="7169" width="33.140625" customWidth="1"/>
    <col min="7170" max="7170" width="11" customWidth="1"/>
    <col min="7171" max="7171" width="16.85546875" customWidth="1"/>
    <col min="7172" max="7172" width="16.7109375" customWidth="1"/>
    <col min="7173" max="7173" width="14.7109375" customWidth="1"/>
    <col min="7174" max="7174" width="4.85546875" customWidth="1"/>
    <col min="7175" max="7175" width="14.7109375" customWidth="1"/>
    <col min="7176" max="7176" width="18.28515625" customWidth="1"/>
    <col min="7177" max="7177" width="15.5703125" customWidth="1"/>
    <col min="7178" max="7178" width="6.140625" customWidth="1"/>
    <col min="7179" max="7179" width="14.7109375" customWidth="1"/>
    <col min="7180" max="7180" width="16.140625" customWidth="1"/>
    <col min="7181" max="7181" width="14.7109375" customWidth="1"/>
    <col min="7182" max="7182" width="4.85546875" customWidth="1"/>
    <col min="7183" max="7183" width="18.5703125" customWidth="1"/>
    <col min="7425" max="7425" width="33.140625" customWidth="1"/>
    <col min="7426" max="7426" width="11" customWidth="1"/>
    <col min="7427" max="7427" width="16.85546875" customWidth="1"/>
    <col min="7428" max="7428" width="16.7109375" customWidth="1"/>
    <col min="7429" max="7429" width="14.7109375" customWidth="1"/>
    <col min="7430" max="7430" width="4.85546875" customWidth="1"/>
    <col min="7431" max="7431" width="14.7109375" customWidth="1"/>
    <col min="7432" max="7432" width="18.28515625" customWidth="1"/>
    <col min="7433" max="7433" width="15.5703125" customWidth="1"/>
    <col min="7434" max="7434" width="6.140625" customWidth="1"/>
    <col min="7435" max="7435" width="14.7109375" customWidth="1"/>
    <col min="7436" max="7436" width="16.140625" customWidth="1"/>
    <col min="7437" max="7437" width="14.7109375" customWidth="1"/>
    <col min="7438" max="7438" width="4.85546875" customWidth="1"/>
    <col min="7439" max="7439" width="18.5703125" customWidth="1"/>
    <col min="7681" max="7681" width="33.140625" customWidth="1"/>
    <col min="7682" max="7682" width="11" customWidth="1"/>
    <col min="7683" max="7683" width="16.85546875" customWidth="1"/>
    <col min="7684" max="7684" width="16.7109375" customWidth="1"/>
    <col min="7685" max="7685" width="14.7109375" customWidth="1"/>
    <col min="7686" max="7686" width="4.85546875" customWidth="1"/>
    <col min="7687" max="7687" width="14.7109375" customWidth="1"/>
    <col min="7688" max="7688" width="18.28515625" customWidth="1"/>
    <col min="7689" max="7689" width="15.5703125" customWidth="1"/>
    <col min="7690" max="7690" width="6.140625" customWidth="1"/>
    <col min="7691" max="7691" width="14.7109375" customWidth="1"/>
    <col min="7692" max="7692" width="16.140625" customWidth="1"/>
    <col min="7693" max="7693" width="14.7109375" customWidth="1"/>
    <col min="7694" max="7694" width="4.85546875" customWidth="1"/>
    <col min="7695" max="7695" width="18.5703125" customWidth="1"/>
    <col min="7937" max="7937" width="33.140625" customWidth="1"/>
    <col min="7938" max="7938" width="11" customWidth="1"/>
    <col min="7939" max="7939" width="16.85546875" customWidth="1"/>
    <col min="7940" max="7940" width="16.7109375" customWidth="1"/>
    <col min="7941" max="7941" width="14.7109375" customWidth="1"/>
    <col min="7942" max="7942" width="4.85546875" customWidth="1"/>
    <col min="7943" max="7943" width="14.7109375" customWidth="1"/>
    <col min="7944" max="7944" width="18.28515625" customWidth="1"/>
    <col min="7945" max="7945" width="15.5703125" customWidth="1"/>
    <col min="7946" max="7946" width="6.140625" customWidth="1"/>
    <col min="7947" max="7947" width="14.7109375" customWidth="1"/>
    <col min="7948" max="7948" width="16.140625" customWidth="1"/>
    <col min="7949" max="7949" width="14.7109375" customWidth="1"/>
    <col min="7950" max="7950" width="4.85546875" customWidth="1"/>
    <col min="7951" max="7951" width="18.5703125" customWidth="1"/>
    <col min="8193" max="8193" width="33.140625" customWidth="1"/>
    <col min="8194" max="8194" width="11" customWidth="1"/>
    <col min="8195" max="8195" width="16.85546875" customWidth="1"/>
    <col min="8196" max="8196" width="16.7109375" customWidth="1"/>
    <col min="8197" max="8197" width="14.7109375" customWidth="1"/>
    <col min="8198" max="8198" width="4.85546875" customWidth="1"/>
    <col min="8199" max="8199" width="14.7109375" customWidth="1"/>
    <col min="8200" max="8200" width="18.28515625" customWidth="1"/>
    <col min="8201" max="8201" width="15.5703125" customWidth="1"/>
    <col min="8202" max="8202" width="6.140625" customWidth="1"/>
    <col min="8203" max="8203" width="14.7109375" customWidth="1"/>
    <col min="8204" max="8204" width="16.140625" customWidth="1"/>
    <col min="8205" max="8205" width="14.7109375" customWidth="1"/>
    <col min="8206" max="8206" width="4.85546875" customWidth="1"/>
    <col min="8207" max="8207" width="18.5703125" customWidth="1"/>
    <col min="8449" max="8449" width="33.140625" customWidth="1"/>
    <col min="8450" max="8450" width="11" customWidth="1"/>
    <col min="8451" max="8451" width="16.85546875" customWidth="1"/>
    <col min="8452" max="8452" width="16.7109375" customWidth="1"/>
    <col min="8453" max="8453" width="14.7109375" customWidth="1"/>
    <col min="8454" max="8454" width="4.85546875" customWidth="1"/>
    <col min="8455" max="8455" width="14.7109375" customWidth="1"/>
    <col min="8456" max="8456" width="18.28515625" customWidth="1"/>
    <col min="8457" max="8457" width="15.5703125" customWidth="1"/>
    <col min="8458" max="8458" width="6.140625" customWidth="1"/>
    <col min="8459" max="8459" width="14.7109375" customWidth="1"/>
    <col min="8460" max="8460" width="16.140625" customWidth="1"/>
    <col min="8461" max="8461" width="14.7109375" customWidth="1"/>
    <col min="8462" max="8462" width="4.85546875" customWidth="1"/>
    <col min="8463" max="8463" width="18.5703125" customWidth="1"/>
    <col min="8705" max="8705" width="33.140625" customWidth="1"/>
    <col min="8706" max="8706" width="11" customWidth="1"/>
    <col min="8707" max="8707" width="16.85546875" customWidth="1"/>
    <col min="8708" max="8708" width="16.7109375" customWidth="1"/>
    <col min="8709" max="8709" width="14.7109375" customWidth="1"/>
    <col min="8710" max="8710" width="4.85546875" customWidth="1"/>
    <col min="8711" max="8711" width="14.7109375" customWidth="1"/>
    <col min="8712" max="8712" width="18.28515625" customWidth="1"/>
    <col min="8713" max="8713" width="15.5703125" customWidth="1"/>
    <col min="8714" max="8714" width="6.140625" customWidth="1"/>
    <col min="8715" max="8715" width="14.7109375" customWidth="1"/>
    <col min="8716" max="8716" width="16.140625" customWidth="1"/>
    <col min="8717" max="8717" width="14.7109375" customWidth="1"/>
    <col min="8718" max="8718" width="4.85546875" customWidth="1"/>
    <col min="8719" max="8719" width="18.5703125" customWidth="1"/>
    <col min="8961" max="8961" width="33.140625" customWidth="1"/>
    <col min="8962" max="8962" width="11" customWidth="1"/>
    <col min="8963" max="8963" width="16.85546875" customWidth="1"/>
    <col min="8964" max="8964" width="16.7109375" customWidth="1"/>
    <col min="8965" max="8965" width="14.7109375" customWidth="1"/>
    <col min="8966" max="8966" width="4.85546875" customWidth="1"/>
    <col min="8967" max="8967" width="14.7109375" customWidth="1"/>
    <col min="8968" max="8968" width="18.28515625" customWidth="1"/>
    <col min="8969" max="8969" width="15.5703125" customWidth="1"/>
    <col min="8970" max="8970" width="6.140625" customWidth="1"/>
    <col min="8971" max="8971" width="14.7109375" customWidth="1"/>
    <col min="8972" max="8972" width="16.140625" customWidth="1"/>
    <col min="8973" max="8973" width="14.7109375" customWidth="1"/>
    <col min="8974" max="8974" width="4.85546875" customWidth="1"/>
    <col min="8975" max="8975" width="18.5703125" customWidth="1"/>
    <col min="9217" max="9217" width="33.140625" customWidth="1"/>
    <col min="9218" max="9218" width="11" customWidth="1"/>
    <col min="9219" max="9219" width="16.85546875" customWidth="1"/>
    <col min="9220" max="9220" width="16.7109375" customWidth="1"/>
    <col min="9221" max="9221" width="14.7109375" customWidth="1"/>
    <col min="9222" max="9222" width="4.85546875" customWidth="1"/>
    <col min="9223" max="9223" width="14.7109375" customWidth="1"/>
    <col min="9224" max="9224" width="18.28515625" customWidth="1"/>
    <col min="9225" max="9225" width="15.5703125" customWidth="1"/>
    <col min="9226" max="9226" width="6.140625" customWidth="1"/>
    <col min="9227" max="9227" width="14.7109375" customWidth="1"/>
    <col min="9228" max="9228" width="16.140625" customWidth="1"/>
    <col min="9229" max="9229" width="14.7109375" customWidth="1"/>
    <col min="9230" max="9230" width="4.85546875" customWidth="1"/>
    <col min="9231" max="9231" width="18.5703125" customWidth="1"/>
    <col min="9473" max="9473" width="33.140625" customWidth="1"/>
    <col min="9474" max="9474" width="11" customWidth="1"/>
    <col min="9475" max="9475" width="16.85546875" customWidth="1"/>
    <col min="9476" max="9476" width="16.7109375" customWidth="1"/>
    <col min="9477" max="9477" width="14.7109375" customWidth="1"/>
    <col min="9478" max="9478" width="4.85546875" customWidth="1"/>
    <col min="9479" max="9479" width="14.7109375" customWidth="1"/>
    <col min="9480" max="9480" width="18.28515625" customWidth="1"/>
    <col min="9481" max="9481" width="15.5703125" customWidth="1"/>
    <col min="9482" max="9482" width="6.140625" customWidth="1"/>
    <col min="9483" max="9483" width="14.7109375" customWidth="1"/>
    <col min="9484" max="9484" width="16.140625" customWidth="1"/>
    <col min="9485" max="9485" width="14.7109375" customWidth="1"/>
    <col min="9486" max="9486" width="4.85546875" customWidth="1"/>
    <col min="9487" max="9487" width="18.5703125" customWidth="1"/>
    <col min="9729" max="9729" width="33.140625" customWidth="1"/>
    <col min="9730" max="9730" width="11" customWidth="1"/>
    <col min="9731" max="9731" width="16.85546875" customWidth="1"/>
    <col min="9732" max="9732" width="16.7109375" customWidth="1"/>
    <col min="9733" max="9733" width="14.7109375" customWidth="1"/>
    <col min="9734" max="9734" width="4.85546875" customWidth="1"/>
    <col min="9735" max="9735" width="14.7109375" customWidth="1"/>
    <col min="9736" max="9736" width="18.28515625" customWidth="1"/>
    <col min="9737" max="9737" width="15.5703125" customWidth="1"/>
    <col min="9738" max="9738" width="6.140625" customWidth="1"/>
    <col min="9739" max="9739" width="14.7109375" customWidth="1"/>
    <col min="9740" max="9740" width="16.140625" customWidth="1"/>
    <col min="9741" max="9741" width="14.7109375" customWidth="1"/>
    <col min="9742" max="9742" width="4.85546875" customWidth="1"/>
    <col min="9743" max="9743" width="18.5703125" customWidth="1"/>
    <col min="9985" max="9985" width="33.140625" customWidth="1"/>
    <col min="9986" max="9986" width="11" customWidth="1"/>
    <col min="9987" max="9987" width="16.85546875" customWidth="1"/>
    <col min="9988" max="9988" width="16.7109375" customWidth="1"/>
    <col min="9989" max="9989" width="14.7109375" customWidth="1"/>
    <col min="9990" max="9990" width="4.85546875" customWidth="1"/>
    <col min="9991" max="9991" width="14.7109375" customWidth="1"/>
    <col min="9992" max="9992" width="18.28515625" customWidth="1"/>
    <col min="9993" max="9993" width="15.5703125" customWidth="1"/>
    <col min="9994" max="9994" width="6.140625" customWidth="1"/>
    <col min="9995" max="9995" width="14.7109375" customWidth="1"/>
    <col min="9996" max="9996" width="16.140625" customWidth="1"/>
    <col min="9997" max="9997" width="14.7109375" customWidth="1"/>
    <col min="9998" max="9998" width="4.85546875" customWidth="1"/>
    <col min="9999" max="9999" width="18.5703125" customWidth="1"/>
    <col min="10241" max="10241" width="33.140625" customWidth="1"/>
    <col min="10242" max="10242" width="11" customWidth="1"/>
    <col min="10243" max="10243" width="16.85546875" customWidth="1"/>
    <col min="10244" max="10244" width="16.7109375" customWidth="1"/>
    <col min="10245" max="10245" width="14.7109375" customWidth="1"/>
    <col min="10246" max="10246" width="4.85546875" customWidth="1"/>
    <col min="10247" max="10247" width="14.7109375" customWidth="1"/>
    <col min="10248" max="10248" width="18.28515625" customWidth="1"/>
    <col min="10249" max="10249" width="15.5703125" customWidth="1"/>
    <col min="10250" max="10250" width="6.140625" customWidth="1"/>
    <col min="10251" max="10251" width="14.7109375" customWidth="1"/>
    <col min="10252" max="10252" width="16.140625" customWidth="1"/>
    <col min="10253" max="10253" width="14.7109375" customWidth="1"/>
    <col min="10254" max="10254" width="4.85546875" customWidth="1"/>
    <col min="10255" max="10255" width="18.5703125" customWidth="1"/>
    <col min="10497" max="10497" width="33.140625" customWidth="1"/>
    <col min="10498" max="10498" width="11" customWidth="1"/>
    <col min="10499" max="10499" width="16.85546875" customWidth="1"/>
    <col min="10500" max="10500" width="16.7109375" customWidth="1"/>
    <col min="10501" max="10501" width="14.7109375" customWidth="1"/>
    <col min="10502" max="10502" width="4.85546875" customWidth="1"/>
    <col min="10503" max="10503" width="14.7109375" customWidth="1"/>
    <col min="10504" max="10504" width="18.28515625" customWidth="1"/>
    <col min="10505" max="10505" width="15.5703125" customWidth="1"/>
    <col min="10506" max="10506" width="6.140625" customWidth="1"/>
    <col min="10507" max="10507" width="14.7109375" customWidth="1"/>
    <col min="10508" max="10508" width="16.140625" customWidth="1"/>
    <col min="10509" max="10509" width="14.7109375" customWidth="1"/>
    <col min="10510" max="10510" width="4.85546875" customWidth="1"/>
    <col min="10511" max="10511" width="18.5703125" customWidth="1"/>
    <col min="10753" max="10753" width="33.140625" customWidth="1"/>
    <col min="10754" max="10754" width="11" customWidth="1"/>
    <col min="10755" max="10755" width="16.85546875" customWidth="1"/>
    <col min="10756" max="10756" width="16.7109375" customWidth="1"/>
    <col min="10757" max="10757" width="14.7109375" customWidth="1"/>
    <col min="10758" max="10758" width="4.85546875" customWidth="1"/>
    <col min="10759" max="10759" width="14.7109375" customWidth="1"/>
    <col min="10760" max="10760" width="18.28515625" customWidth="1"/>
    <col min="10761" max="10761" width="15.5703125" customWidth="1"/>
    <col min="10762" max="10762" width="6.140625" customWidth="1"/>
    <col min="10763" max="10763" width="14.7109375" customWidth="1"/>
    <col min="10764" max="10764" width="16.140625" customWidth="1"/>
    <col min="10765" max="10765" width="14.7109375" customWidth="1"/>
    <col min="10766" max="10766" width="4.85546875" customWidth="1"/>
    <col min="10767" max="10767" width="18.5703125" customWidth="1"/>
    <col min="11009" max="11009" width="33.140625" customWidth="1"/>
    <col min="11010" max="11010" width="11" customWidth="1"/>
    <col min="11011" max="11011" width="16.85546875" customWidth="1"/>
    <col min="11012" max="11012" width="16.7109375" customWidth="1"/>
    <col min="11013" max="11013" width="14.7109375" customWidth="1"/>
    <col min="11014" max="11014" width="4.85546875" customWidth="1"/>
    <col min="11015" max="11015" width="14.7109375" customWidth="1"/>
    <col min="11016" max="11016" width="18.28515625" customWidth="1"/>
    <col min="11017" max="11017" width="15.5703125" customWidth="1"/>
    <col min="11018" max="11018" width="6.140625" customWidth="1"/>
    <col min="11019" max="11019" width="14.7109375" customWidth="1"/>
    <col min="11020" max="11020" width="16.140625" customWidth="1"/>
    <col min="11021" max="11021" width="14.7109375" customWidth="1"/>
    <col min="11022" max="11022" width="4.85546875" customWidth="1"/>
    <col min="11023" max="11023" width="18.5703125" customWidth="1"/>
    <col min="11265" max="11265" width="33.140625" customWidth="1"/>
    <col min="11266" max="11266" width="11" customWidth="1"/>
    <col min="11267" max="11267" width="16.85546875" customWidth="1"/>
    <col min="11268" max="11268" width="16.7109375" customWidth="1"/>
    <col min="11269" max="11269" width="14.7109375" customWidth="1"/>
    <col min="11270" max="11270" width="4.85546875" customWidth="1"/>
    <col min="11271" max="11271" width="14.7109375" customWidth="1"/>
    <col min="11272" max="11272" width="18.28515625" customWidth="1"/>
    <col min="11273" max="11273" width="15.5703125" customWidth="1"/>
    <col min="11274" max="11274" width="6.140625" customWidth="1"/>
    <col min="11275" max="11275" width="14.7109375" customWidth="1"/>
    <col min="11276" max="11276" width="16.140625" customWidth="1"/>
    <col min="11277" max="11277" width="14.7109375" customWidth="1"/>
    <col min="11278" max="11278" width="4.85546875" customWidth="1"/>
    <col min="11279" max="11279" width="18.5703125" customWidth="1"/>
    <col min="11521" max="11521" width="33.140625" customWidth="1"/>
    <col min="11522" max="11522" width="11" customWidth="1"/>
    <col min="11523" max="11523" width="16.85546875" customWidth="1"/>
    <col min="11524" max="11524" width="16.7109375" customWidth="1"/>
    <col min="11525" max="11525" width="14.7109375" customWidth="1"/>
    <col min="11526" max="11526" width="4.85546875" customWidth="1"/>
    <col min="11527" max="11527" width="14.7109375" customWidth="1"/>
    <col min="11528" max="11528" width="18.28515625" customWidth="1"/>
    <col min="11529" max="11529" width="15.5703125" customWidth="1"/>
    <col min="11530" max="11530" width="6.140625" customWidth="1"/>
    <col min="11531" max="11531" width="14.7109375" customWidth="1"/>
    <col min="11532" max="11532" width="16.140625" customWidth="1"/>
    <col min="11533" max="11533" width="14.7109375" customWidth="1"/>
    <col min="11534" max="11534" width="4.85546875" customWidth="1"/>
    <col min="11535" max="11535" width="18.5703125" customWidth="1"/>
    <col min="11777" max="11777" width="33.140625" customWidth="1"/>
    <col min="11778" max="11778" width="11" customWidth="1"/>
    <col min="11779" max="11779" width="16.85546875" customWidth="1"/>
    <col min="11780" max="11780" width="16.7109375" customWidth="1"/>
    <col min="11781" max="11781" width="14.7109375" customWidth="1"/>
    <col min="11782" max="11782" width="4.85546875" customWidth="1"/>
    <col min="11783" max="11783" width="14.7109375" customWidth="1"/>
    <col min="11784" max="11784" width="18.28515625" customWidth="1"/>
    <col min="11785" max="11785" width="15.5703125" customWidth="1"/>
    <col min="11786" max="11786" width="6.140625" customWidth="1"/>
    <col min="11787" max="11787" width="14.7109375" customWidth="1"/>
    <col min="11788" max="11788" width="16.140625" customWidth="1"/>
    <col min="11789" max="11789" width="14.7109375" customWidth="1"/>
    <col min="11790" max="11790" width="4.85546875" customWidth="1"/>
    <col min="11791" max="11791" width="18.5703125" customWidth="1"/>
    <col min="12033" max="12033" width="33.140625" customWidth="1"/>
    <col min="12034" max="12034" width="11" customWidth="1"/>
    <col min="12035" max="12035" width="16.85546875" customWidth="1"/>
    <col min="12036" max="12036" width="16.7109375" customWidth="1"/>
    <col min="12037" max="12037" width="14.7109375" customWidth="1"/>
    <col min="12038" max="12038" width="4.85546875" customWidth="1"/>
    <col min="12039" max="12039" width="14.7109375" customWidth="1"/>
    <col min="12040" max="12040" width="18.28515625" customWidth="1"/>
    <col min="12041" max="12041" width="15.5703125" customWidth="1"/>
    <col min="12042" max="12042" width="6.140625" customWidth="1"/>
    <col min="12043" max="12043" width="14.7109375" customWidth="1"/>
    <col min="12044" max="12044" width="16.140625" customWidth="1"/>
    <col min="12045" max="12045" width="14.7109375" customWidth="1"/>
    <col min="12046" max="12046" width="4.85546875" customWidth="1"/>
    <col min="12047" max="12047" width="18.5703125" customWidth="1"/>
    <col min="12289" max="12289" width="33.140625" customWidth="1"/>
    <col min="12290" max="12290" width="11" customWidth="1"/>
    <col min="12291" max="12291" width="16.85546875" customWidth="1"/>
    <col min="12292" max="12292" width="16.7109375" customWidth="1"/>
    <col min="12293" max="12293" width="14.7109375" customWidth="1"/>
    <col min="12294" max="12294" width="4.85546875" customWidth="1"/>
    <col min="12295" max="12295" width="14.7109375" customWidth="1"/>
    <col min="12296" max="12296" width="18.28515625" customWidth="1"/>
    <col min="12297" max="12297" width="15.5703125" customWidth="1"/>
    <col min="12298" max="12298" width="6.140625" customWidth="1"/>
    <col min="12299" max="12299" width="14.7109375" customWidth="1"/>
    <col min="12300" max="12300" width="16.140625" customWidth="1"/>
    <col min="12301" max="12301" width="14.7109375" customWidth="1"/>
    <col min="12302" max="12302" width="4.85546875" customWidth="1"/>
    <col min="12303" max="12303" width="18.5703125" customWidth="1"/>
    <col min="12545" max="12545" width="33.140625" customWidth="1"/>
    <col min="12546" max="12546" width="11" customWidth="1"/>
    <col min="12547" max="12547" width="16.85546875" customWidth="1"/>
    <col min="12548" max="12548" width="16.7109375" customWidth="1"/>
    <col min="12549" max="12549" width="14.7109375" customWidth="1"/>
    <col min="12550" max="12550" width="4.85546875" customWidth="1"/>
    <col min="12551" max="12551" width="14.7109375" customWidth="1"/>
    <col min="12552" max="12552" width="18.28515625" customWidth="1"/>
    <col min="12553" max="12553" width="15.5703125" customWidth="1"/>
    <col min="12554" max="12554" width="6.140625" customWidth="1"/>
    <col min="12555" max="12555" width="14.7109375" customWidth="1"/>
    <col min="12556" max="12556" width="16.140625" customWidth="1"/>
    <col min="12557" max="12557" width="14.7109375" customWidth="1"/>
    <col min="12558" max="12558" width="4.85546875" customWidth="1"/>
    <col min="12559" max="12559" width="18.5703125" customWidth="1"/>
    <col min="12801" max="12801" width="33.140625" customWidth="1"/>
    <col min="12802" max="12802" width="11" customWidth="1"/>
    <col min="12803" max="12803" width="16.85546875" customWidth="1"/>
    <col min="12804" max="12804" width="16.7109375" customWidth="1"/>
    <col min="12805" max="12805" width="14.7109375" customWidth="1"/>
    <col min="12806" max="12806" width="4.85546875" customWidth="1"/>
    <col min="12807" max="12807" width="14.7109375" customWidth="1"/>
    <col min="12808" max="12808" width="18.28515625" customWidth="1"/>
    <col min="12809" max="12809" width="15.5703125" customWidth="1"/>
    <col min="12810" max="12810" width="6.140625" customWidth="1"/>
    <col min="12811" max="12811" width="14.7109375" customWidth="1"/>
    <col min="12812" max="12812" width="16.140625" customWidth="1"/>
    <col min="12813" max="12813" width="14.7109375" customWidth="1"/>
    <col min="12814" max="12814" width="4.85546875" customWidth="1"/>
    <col min="12815" max="12815" width="18.5703125" customWidth="1"/>
    <col min="13057" max="13057" width="33.140625" customWidth="1"/>
    <col min="13058" max="13058" width="11" customWidth="1"/>
    <col min="13059" max="13059" width="16.85546875" customWidth="1"/>
    <col min="13060" max="13060" width="16.7109375" customWidth="1"/>
    <col min="13061" max="13061" width="14.7109375" customWidth="1"/>
    <col min="13062" max="13062" width="4.85546875" customWidth="1"/>
    <col min="13063" max="13063" width="14.7109375" customWidth="1"/>
    <col min="13064" max="13064" width="18.28515625" customWidth="1"/>
    <col min="13065" max="13065" width="15.5703125" customWidth="1"/>
    <col min="13066" max="13066" width="6.140625" customWidth="1"/>
    <col min="13067" max="13067" width="14.7109375" customWidth="1"/>
    <col min="13068" max="13068" width="16.140625" customWidth="1"/>
    <col min="13069" max="13069" width="14.7109375" customWidth="1"/>
    <col min="13070" max="13070" width="4.85546875" customWidth="1"/>
    <col min="13071" max="13071" width="18.5703125" customWidth="1"/>
    <col min="13313" max="13313" width="33.140625" customWidth="1"/>
    <col min="13314" max="13314" width="11" customWidth="1"/>
    <col min="13315" max="13315" width="16.85546875" customWidth="1"/>
    <col min="13316" max="13316" width="16.7109375" customWidth="1"/>
    <col min="13317" max="13317" width="14.7109375" customWidth="1"/>
    <col min="13318" max="13318" width="4.85546875" customWidth="1"/>
    <col min="13319" max="13319" width="14.7109375" customWidth="1"/>
    <col min="13320" max="13320" width="18.28515625" customWidth="1"/>
    <col min="13321" max="13321" width="15.5703125" customWidth="1"/>
    <col min="13322" max="13322" width="6.140625" customWidth="1"/>
    <col min="13323" max="13323" width="14.7109375" customWidth="1"/>
    <col min="13324" max="13324" width="16.140625" customWidth="1"/>
    <col min="13325" max="13325" width="14.7109375" customWidth="1"/>
    <col min="13326" max="13326" width="4.85546875" customWidth="1"/>
    <col min="13327" max="13327" width="18.5703125" customWidth="1"/>
    <col min="13569" max="13569" width="33.140625" customWidth="1"/>
    <col min="13570" max="13570" width="11" customWidth="1"/>
    <col min="13571" max="13571" width="16.85546875" customWidth="1"/>
    <col min="13572" max="13572" width="16.7109375" customWidth="1"/>
    <col min="13573" max="13573" width="14.7109375" customWidth="1"/>
    <col min="13574" max="13574" width="4.85546875" customWidth="1"/>
    <col min="13575" max="13575" width="14.7109375" customWidth="1"/>
    <col min="13576" max="13576" width="18.28515625" customWidth="1"/>
    <col min="13577" max="13577" width="15.5703125" customWidth="1"/>
    <col min="13578" max="13578" width="6.140625" customWidth="1"/>
    <col min="13579" max="13579" width="14.7109375" customWidth="1"/>
    <col min="13580" max="13580" width="16.140625" customWidth="1"/>
    <col min="13581" max="13581" width="14.7109375" customWidth="1"/>
    <col min="13582" max="13582" width="4.85546875" customWidth="1"/>
    <col min="13583" max="13583" width="18.5703125" customWidth="1"/>
    <col min="13825" max="13825" width="33.140625" customWidth="1"/>
    <col min="13826" max="13826" width="11" customWidth="1"/>
    <col min="13827" max="13827" width="16.85546875" customWidth="1"/>
    <col min="13828" max="13828" width="16.7109375" customWidth="1"/>
    <col min="13829" max="13829" width="14.7109375" customWidth="1"/>
    <col min="13830" max="13830" width="4.85546875" customWidth="1"/>
    <col min="13831" max="13831" width="14.7109375" customWidth="1"/>
    <col min="13832" max="13832" width="18.28515625" customWidth="1"/>
    <col min="13833" max="13833" width="15.5703125" customWidth="1"/>
    <col min="13834" max="13834" width="6.140625" customWidth="1"/>
    <col min="13835" max="13835" width="14.7109375" customWidth="1"/>
    <col min="13836" max="13836" width="16.140625" customWidth="1"/>
    <col min="13837" max="13837" width="14.7109375" customWidth="1"/>
    <col min="13838" max="13838" width="4.85546875" customWidth="1"/>
    <col min="13839" max="13839" width="18.5703125" customWidth="1"/>
    <col min="14081" max="14081" width="33.140625" customWidth="1"/>
    <col min="14082" max="14082" width="11" customWidth="1"/>
    <col min="14083" max="14083" width="16.85546875" customWidth="1"/>
    <col min="14084" max="14084" width="16.7109375" customWidth="1"/>
    <col min="14085" max="14085" width="14.7109375" customWidth="1"/>
    <col min="14086" max="14086" width="4.85546875" customWidth="1"/>
    <col min="14087" max="14087" width="14.7109375" customWidth="1"/>
    <col min="14088" max="14088" width="18.28515625" customWidth="1"/>
    <col min="14089" max="14089" width="15.5703125" customWidth="1"/>
    <col min="14090" max="14090" width="6.140625" customWidth="1"/>
    <col min="14091" max="14091" width="14.7109375" customWidth="1"/>
    <col min="14092" max="14092" width="16.140625" customWidth="1"/>
    <col min="14093" max="14093" width="14.7109375" customWidth="1"/>
    <col min="14094" max="14094" width="4.85546875" customWidth="1"/>
    <col min="14095" max="14095" width="18.5703125" customWidth="1"/>
    <col min="14337" max="14337" width="33.140625" customWidth="1"/>
    <col min="14338" max="14338" width="11" customWidth="1"/>
    <col min="14339" max="14339" width="16.85546875" customWidth="1"/>
    <col min="14340" max="14340" width="16.7109375" customWidth="1"/>
    <col min="14341" max="14341" width="14.7109375" customWidth="1"/>
    <col min="14342" max="14342" width="4.85546875" customWidth="1"/>
    <col min="14343" max="14343" width="14.7109375" customWidth="1"/>
    <col min="14344" max="14344" width="18.28515625" customWidth="1"/>
    <col min="14345" max="14345" width="15.5703125" customWidth="1"/>
    <col min="14346" max="14346" width="6.140625" customWidth="1"/>
    <col min="14347" max="14347" width="14.7109375" customWidth="1"/>
    <col min="14348" max="14348" width="16.140625" customWidth="1"/>
    <col min="14349" max="14349" width="14.7109375" customWidth="1"/>
    <col min="14350" max="14350" width="4.85546875" customWidth="1"/>
    <col min="14351" max="14351" width="18.5703125" customWidth="1"/>
    <col min="14593" max="14593" width="33.140625" customWidth="1"/>
    <col min="14594" max="14594" width="11" customWidth="1"/>
    <col min="14595" max="14595" width="16.85546875" customWidth="1"/>
    <col min="14596" max="14596" width="16.7109375" customWidth="1"/>
    <col min="14597" max="14597" width="14.7109375" customWidth="1"/>
    <col min="14598" max="14598" width="4.85546875" customWidth="1"/>
    <col min="14599" max="14599" width="14.7109375" customWidth="1"/>
    <col min="14600" max="14600" width="18.28515625" customWidth="1"/>
    <col min="14601" max="14601" width="15.5703125" customWidth="1"/>
    <col min="14602" max="14602" width="6.140625" customWidth="1"/>
    <col min="14603" max="14603" width="14.7109375" customWidth="1"/>
    <col min="14604" max="14604" width="16.140625" customWidth="1"/>
    <col min="14605" max="14605" width="14.7109375" customWidth="1"/>
    <col min="14606" max="14606" width="4.85546875" customWidth="1"/>
    <col min="14607" max="14607" width="18.5703125" customWidth="1"/>
    <col min="14849" max="14849" width="33.140625" customWidth="1"/>
    <col min="14850" max="14850" width="11" customWidth="1"/>
    <col min="14851" max="14851" width="16.85546875" customWidth="1"/>
    <col min="14852" max="14852" width="16.7109375" customWidth="1"/>
    <col min="14853" max="14853" width="14.7109375" customWidth="1"/>
    <col min="14854" max="14854" width="4.85546875" customWidth="1"/>
    <col min="14855" max="14855" width="14.7109375" customWidth="1"/>
    <col min="14856" max="14856" width="18.28515625" customWidth="1"/>
    <col min="14857" max="14857" width="15.5703125" customWidth="1"/>
    <col min="14858" max="14858" width="6.140625" customWidth="1"/>
    <col min="14859" max="14859" width="14.7109375" customWidth="1"/>
    <col min="14860" max="14860" width="16.140625" customWidth="1"/>
    <col min="14861" max="14861" width="14.7109375" customWidth="1"/>
    <col min="14862" max="14862" width="4.85546875" customWidth="1"/>
    <col min="14863" max="14863" width="18.5703125" customWidth="1"/>
    <col min="15105" max="15105" width="33.140625" customWidth="1"/>
    <col min="15106" max="15106" width="11" customWidth="1"/>
    <col min="15107" max="15107" width="16.85546875" customWidth="1"/>
    <col min="15108" max="15108" width="16.7109375" customWidth="1"/>
    <col min="15109" max="15109" width="14.7109375" customWidth="1"/>
    <col min="15110" max="15110" width="4.85546875" customWidth="1"/>
    <col min="15111" max="15111" width="14.7109375" customWidth="1"/>
    <col min="15112" max="15112" width="18.28515625" customWidth="1"/>
    <col min="15113" max="15113" width="15.5703125" customWidth="1"/>
    <col min="15114" max="15114" width="6.140625" customWidth="1"/>
    <col min="15115" max="15115" width="14.7109375" customWidth="1"/>
    <col min="15116" max="15116" width="16.140625" customWidth="1"/>
    <col min="15117" max="15117" width="14.7109375" customWidth="1"/>
    <col min="15118" max="15118" width="4.85546875" customWidth="1"/>
    <col min="15119" max="15119" width="18.5703125" customWidth="1"/>
    <col min="15361" max="15361" width="33.140625" customWidth="1"/>
    <col min="15362" max="15362" width="11" customWidth="1"/>
    <col min="15363" max="15363" width="16.85546875" customWidth="1"/>
    <col min="15364" max="15364" width="16.7109375" customWidth="1"/>
    <col min="15365" max="15365" width="14.7109375" customWidth="1"/>
    <col min="15366" max="15366" width="4.85546875" customWidth="1"/>
    <col min="15367" max="15367" width="14.7109375" customWidth="1"/>
    <col min="15368" max="15368" width="18.28515625" customWidth="1"/>
    <col min="15369" max="15369" width="15.5703125" customWidth="1"/>
    <col min="15370" max="15370" width="6.140625" customWidth="1"/>
    <col min="15371" max="15371" width="14.7109375" customWidth="1"/>
    <col min="15372" max="15372" width="16.140625" customWidth="1"/>
    <col min="15373" max="15373" width="14.7109375" customWidth="1"/>
    <col min="15374" max="15374" width="4.85546875" customWidth="1"/>
    <col min="15375" max="15375" width="18.5703125" customWidth="1"/>
    <col min="15617" max="15617" width="33.140625" customWidth="1"/>
    <col min="15618" max="15618" width="11" customWidth="1"/>
    <col min="15619" max="15619" width="16.85546875" customWidth="1"/>
    <col min="15620" max="15620" width="16.7109375" customWidth="1"/>
    <col min="15621" max="15621" width="14.7109375" customWidth="1"/>
    <col min="15622" max="15622" width="4.85546875" customWidth="1"/>
    <col min="15623" max="15623" width="14.7109375" customWidth="1"/>
    <col min="15624" max="15624" width="18.28515625" customWidth="1"/>
    <col min="15625" max="15625" width="15.5703125" customWidth="1"/>
    <col min="15626" max="15626" width="6.140625" customWidth="1"/>
    <col min="15627" max="15627" width="14.7109375" customWidth="1"/>
    <col min="15628" max="15628" width="16.140625" customWidth="1"/>
    <col min="15629" max="15629" width="14.7109375" customWidth="1"/>
    <col min="15630" max="15630" width="4.85546875" customWidth="1"/>
    <col min="15631" max="15631" width="18.5703125" customWidth="1"/>
    <col min="15873" max="15873" width="33.140625" customWidth="1"/>
    <col min="15874" max="15874" width="11" customWidth="1"/>
    <col min="15875" max="15875" width="16.85546875" customWidth="1"/>
    <col min="15876" max="15876" width="16.7109375" customWidth="1"/>
    <col min="15877" max="15877" width="14.7109375" customWidth="1"/>
    <col min="15878" max="15878" width="4.85546875" customWidth="1"/>
    <col min="15879" max="15879" width="14.7109375" customWidth="1"/>
    <col min="15880" max="15880" width="18.28515625" customWidth="1"/>
    <col min="15881" max="15881" width="15.5703125" customWidth="1"/>
    <col min="15882" max="15882" width="6.140625" customWidth="1"/>
    <col min="15883" max="15883" width="14.7109375" customWidth="1"/>
    <col min="15884" max="15884" width="16.140625" customWidth="1"/>
    <col min="15885" max="15885" width="14.7109375" customWidth="1"/>
    <col min="15886" max="15886" width="4.85546875" customWidth="1"/>
    <col min="15887" max="15887" width="18.5703125" customWidth="1"/>
    <col min="16129" max="16129" width="33.140625" customWidth="1"/>
    <col min="16130" max="16130" width="11" customWidth="1"/>
    <col min="16131" max="16131" width="16.85546875" customWidth="1"/>
    <col min="16132" max="16132" width="16.7109375" customWidth="1"/>
    <col min="16133" max="16133" width="14.7109375" customWidth="1"/>
    <col min="16134" max="16134" width="4.85546875" customWidth="1"/>
    <col min="16135" max="16135" width="14.7109375" customWidth="1"/>
    <col min="16136" max="16136" width="18.28515625" customWidth="1"/>
    <col min="16137" max="16137" width="15.5703125" customWidth="1"/>
    <col min="16138" max="16138" width="6.140625" customWidth="1"/>
    <col min="16139" max="16139" width="14.7109375" customWidth="1"/>
    <col min="16140" max="16140" width="16.140625" customWidth="1"/>
    <col min="16141" max="16141" width="14.7109375" customWidth="1"/>
    <col min="16142" max="16142" width="4.85546875" customWidth="1"/>
    <col min="16143" max="16143" width="18.5703125" customWidth="1"/>
  </cols>
  <sheetData>
    <row r="1" spans="1:19" ht="15.75">
      <c r="A1" s="693" t="s">
        <v>116</v>
      </c>
      <c r="B1" s="587"/>
      <c r="C1" s="587"/>
      <c r="D1" s="587"/>
      <c r="E1" s="587"/>
      <c r="F1" s="587"/>
      <c r="G1" s="231"/>
      <c r="H1" s="587"/>
      <c r="I1" s="587"/>
      <c r="J1" s="587"/>
      <c r="K1" s="587"/>
      <c r="L1" s="587"/>
      <c r="M1" s="587"/>
      <c r="N1" s="587"/>
      <c r="O1" s="587"/>
      <c r="P1" s="587"/>
      <c r="Q1" s="587"/>
      <c r="R1" s="587"/>
      <c r="S1" s="587"/>
    </row>
    <row r="2" spans="1:19" ht="15.75">
      <c r="A2" s="693" t="s">
        <v>116</v>
      </c>
      <c r="B2" s="587"/>
      <c r="C2" s="587"/>
      <c r="D2" s="587"/>
      <c r="E2" s="587"/>
      <c r="F2" s="587"/>
      <c r="G2" s="231"/>
      <c r="H2" s="587"/>
      <c r="I2" s="587"/>
      <c r="J2" s="587"/>
      <c r="K2" s="587"/>
      <c r="L2" s="587"/>
      <c r="M2" s="587"/>
      <c r="N2" s="587"/>
      <c r="O2" s="587"/>
      <c r="P2" s="587"/>
      <c r="Q2" s="587"/>
      <c r="R2" s="587"/>
      <c r="S2" s="587"/>
    </row>
    <row r="3" spans="1:19" ht="19.5">
      <c r="A3" s="1288" t="s">
        <v>393</v>
      </c>
      <c r="B3" s="1288"/>
      <c r="C3" s="1288"/>
      <c r="D3" s="1288"/>
      <c r="E3" s="1288"/>
      <c r="F3" s="1288"/>
      <c r="G3" s="1288"/>
      <c r="H3" s="1288"/>
      <c r="I3" s="1288"/>
      <c r="J3" s="1288"/>
      <c r="K3" s="1288"/>
      <c r="L3" s="1288"/>
      <c r="M3" s="1288"/>
      <c r="N3" s="1288"/>
      <c r="O3" s="1288"/>
      <c r="P3" s="586"/>
      <c r="Q3" s="586"/>
      <c r="R3" s="586"/>
      <c r="S3" s="586"/>
    </row>
    <row r="4" spans="1:19" ht="19.5">
      <c r="A4" s="1288" t="s">
        <v>394</v>
      </c>
      <c r="B4" s="1288"/>
      <c r="C4" s="1288"/>
      <c r="D4" s="1288"/>
      <c r="E4" s="1288"/>
      <c r="F4" s="1288"/>
      <c r="G4" s="1288"/>
      <c r="H4" s="1288"/>
      <c r="I4" s="1288"/>
      <c r="J4" s="1288"/>
      <c r="K4" s="1288"/>
      <c r="L4" s="1288"/>
      <c r="M4" s="1288"/>
      <c r="N4" s="1288"/>
      <c r="O4" s="1288"/>
      <c r="P4" s="586"/>
      <c r="Q4" s="586"/>
      <c r="R4" s="586"/>
      <c r="S4" s="586"/>
    </row>
    <row r="5" spans="1:19" ht="19.5">
      <c r="A5" s="1288" t="s">
        <v>395</v>
      </c>
      <c r="B5" s="1288"/>
      <c r="C5" s="1288"/>
      <c r="D5" s="1288"/>
      <c r="E5" s="1288"/>
      <c r="F5" s="1288"/>
      <c r="G5" s="1288"/>
      <c r="H5" s="1288"/>
      <c r="I5" s="1288"/>
      <c r="J5" s="1288"/>
      <c r="K5" s="1288"/>
      <c r="L5" s="1288"/>
      <c r="M5" s="1288"/>
      <c r="N5" s="1288"/>
      <c r="O5" s="1288"/>
      <c r="P5" s="586"/>
      <c r="Q5" s="586"/>
      <c r="R5" s="586"/>
      <c r="S5" s="586"/>
    </row>
    <row r="6" spans="1:19" ht="19.5">
      <c r="A6" s="1288" t="s">
        <v>396</v>
      </c>
      <c r="B6" s="1288"/>
      <c r="C6" s="1288"/>
      <c r="D6" s="1288"/>
      <c r="E6" s="1288"/>
      <c r="F6" s="1288"/>
      <c r="G6" s="1288"/>
      <c r="H6" s="1288"/>
      <c r="I6" s="1288"/>
      <c r="J6" s="1288"/>
      <c r="K6" s="1288"/>
      <c r="L6" s="1288"/>
      <c r="M6" s="1288"/>
      <c r="N6" s="1288"/>
      <c r="O6" s="1288"/>
      <c r="P6" s="586"/>
      <c r="Q6" s="586"/>
      <c r="R6" s="586"/>
      <c r="S6" s="586"/>
    </row>
    <row r="7" spans="1:19" ht="19.5">
      <c r="A7" s="1288" t="s">
        <v>1164</v>
      </c>
      <c r="B7" s="1288"/>
      <c r="C7" s="1288"/>
      <c r="D7" s="1288"/>
      <c r="E7" s="1288"/>
      <c r="F7" s="1288"/>
      <c r="G7" s="1288"/>
      <c r="H7" s="1288"/>
      <c r="I7" s="1288"/>
      <c r="J7" s="1288"/>
      <c r="K7" s="1288"/>
      <c r="L7" s="1288"/>
      <c r="M7" s="1288"/>
      <c r="N7" s="1288"/>
      <c r="O7" s="1288"/>
      <c r="P7" s="586"/>
      <c r="Q7" s="586"/>
      <c r="R7" s="586"/>
      <c r="S7" s="586"/>
    </row>
    <row r="8" spans="1:19" ht="19.5">
      <c r="A8" s="1288" t="s">
        <v>397</v>
      </c>
      <c r="B8" s="1288"/>
      <c r="C8" s="1288"/>
      <c r="D8" s="1288"/>
      <c r="E8" s="1288"/>
      <c r="F8" s="1288"/>
      <c r="G8" s="1288"/>
      <c r="H8" s="1288"/>
      <c r="I8" s="1288"/>
      <c r="J8" s="1288"/>
      <c r="K8" s="1288"/>
      <c r="L8" s="1288"/>
      <c r="M8" s="1288"/>
      <c r="N8" s="1288"/>
      <c r="O8" s="1288"/>
      <c r="P8" s="586"/>
      <c r="Q8" s="586"/>
      <c r="R8" s="586"/>
      <c r="S8" s="586"/>
    </row>
    <row r="9" spans="1:19" ht="19.5">
      <c r="A9" s="1289" t="s">
        <v>1072</v>
      </c>
      <c r="B9" s="1288"/>
      <c r="C9" s="1288"/>
      <c r="D9" s="1288"/>
      <c r="E9" s="1288"/>
      <c r="F9" s="1288"/>
      <c r="G9" s="1288"/>
      <c r="H9" s="1288"/>
      <c r="I9" s="1288"/>
      <c r="J9" s="1288"/>
      <c r="K9" s="1288"/>
      <c r="L9" s="1288"/>
      <c r="M9" s="1288"/>
      <c r="N9" s="1288"/>
      <c r="O9" s="1288"/>
      <c r="P9" s="586"/>
      <c r="Q9" s="586"/>
      <c r="R9" s="586"/>
      <c r="S9" s="586"/>
    </row>
    <row r="10" spans="1:19" ht="19.5">
      <c r="A10" s="1290"/>
      <c r="B10" s="1290"/>
      <c r="C10" s="1290"/>
      <c r="D10" s="1290"/>
      <c r="E10" s="1290"/>
      <c r="F10" s="1290"/>
      <c r="G10" s="1290"/>
      <c r="H10" s="1290"/>
      <c r="I10" s="1290"/>
      <c r="J10" s="1290"/>
      <c r="K10" s="1290"/>
      <c r="L10" s="1290"/>
      <c r="M10" s="1290"/>
      <c r="N10" s="1290"/>
      <c r="O10" s="1290"/>
      <c r="P10" s="588"/>
      <c r="Q10" s="588"/>
      <c r="R10" s="588"/>
      <c r="S10" s="588"/>
    </row>
    <row r="11" spans="1:19" ht="15">
      <c r="A11" s="587"/>
      <c r="B11" s="587"/>
      <c r="C11" s="587"/>
      <c r="D11" s="587"/>
      <c r="E11" s="587"/>
      <c r="F11" s="587"/>
      <c r="G11" s="231"/>
      <c r="H11" s="587"/>
      <c r="I11" s="587"/>
      <c r="J11" s="587"/>
      <c r="K11" s="587"/>
      <c r="L11" s="587"/>
      <c r="M11" s="587"/>
      <c r="N11" s="587"/>
      <c r="O11" s="587"/>
      <c r="P11" s="587"/>
      <c r="Q11" s="587"/>
      <c r="R11" s="587"/>
      <c r="S11" s="587"/>
    </row>
    <row r="12" spans="1:19" ht="16.5" thickBot="1">
      <c r="A12" s="589"/>
      <c r="B12" s="589"/>
      <c r="C12" s="1291" t="s">
        <v>605</v>
      </c>
      <c r="D12" s="1291"/>
      <c r="E12" s="1291"/>
      <c r="F12" s="589"/>
      <c r="G12" s="1291" t="s">
        <v>606</v>
      </c>
      <c r="H12" s="1291"/>
      <c r="I12" s="1291"/>
      <c r="J12" s="589"/>
      <c r="K12" s="1291" t="s">
        <v>398</v>
      </c>
      <c r="L12" s="1291"/>
      <c r="M12" s="1291"/>
      <c r="N12" s="589"/>
      <c r="O12" s="1291" t="s">
        <v>607</v>
      </c>
      <c r="P12" s="1291"/>
      <c r="Q12" s="1291"/>
      <c r="R12" s="589"/>
      <c r="S12" s="966" t="s">
        <v>399</v>
      </c>
    </row>
    <row r="13" spans="1:19" ht="15">
      <c r="A13" s="589"/>
      <c r="B13" s="589"/>
      <c r="C13" s="590" t="s">
        <v>123</v>
      </c>
      <c r="D13" s="591"/>
      <c r="E13" s="591"/>
      <c r="F13" s="591"/>
      <c r="G13" s="592" t="s">
        <v>124</v>
      </c>
      <c r="H13" s="593"/>
      <c r="I13" s="593"/>
      <c r="J13" s="593"/>
      <c r="K13" s="594" t="s">
        <v>125</v>
      </c>
      <c r="L13" s="593"/>
      <c r="M13" s="593"/>
      <c r="N13" s="593"/>
      <c r="O13" s="595" t="s">
        <v>126</v>
      </c>
      <c r="P13" s="593"/>
      <c r="Q13" s="593"/>
      <c r="R13" s="593"/>
      <c r="S13" s="593"/>
    </row>
    <row r="14" spans="1:19" ht="15">
      <c r="A14" s="589"/>
      <c r="B14" s="589"/>
      <c r="C14" s="590" t="s">
        <v>116</v>
      </c>
      <c r="D14" s="591"/>
      <c r="E14" s="590" t="s">
        <v>400</v>
      </c>
      <c r="F14" s="591"/>
      <c r="G14" s="592" t="s">
        <v>608</v>
      </c>
      <c r="H14" s="591"/>
      <c r="I14" s="590" t="s">
        <v>400</v>
      </c>
      <c r="J14" s="591"/>
      <c r="K14" s="587"/>
      <c r="L14" s="591"/>
      <c r="M14" s="590" t="s">
        <v>400</v>
      </c>
      <c r="N14" s="591"/>
      <c r="O14" s="587"/>
      <c r="P14" s="591"/>
      <c r="Q14" s="590" t="s">
        <v>400</v>
      </c>
      <c r="R14" s="591"/>
      <c r="S14" s="590" t="s">
        <v>400</v>
      </c>
    </row>
    <row r="15" spans="1:19" ht="15">
      <c r="A15" s="589"/>
      <c r="B15" s="590" t="s">
        <v>401</v>
      </c>
      <c r="C15" s="590" t="s">
        <v>609</v>
      </c>
      <c r="D15" s="590" t="s">
        <v>402</v>
      </c>
      <c r="E15" s="590" t="s">
        <v>403</v>
      </c>
      <c r="F15" s="591"/>
      <c r="G15" s="592" t="s">
        <v>404</v>
      </c>
      <c r="H15" s="590" t="s">
        <v>402</v>
      </c>
      <c r="I15" s="590" t="s">
        <v>403</v>
      </c>
      <c r="J15" s="591"/>
      <c r="K15" s="590" t="s">
        <v>81</v>
      </c>
      <c r="L15" s="590" t="s">
        <v>402</v>
      </c>
      <c r="M15" s="590" t="s">
        <v>403</v>
      </c>
      <c r="N15" s="591"/>
      <c r="O15" s="590" t="s">
        <v>81</v>
      </c>
      <c r="P15" s="590" t="s">
        <v>402</v>
      </c>
      <c r="Q15" s="590" t="s">
        <v>403</v>
      </c>
      <c r="R15" s="591"/>
      <c r="S15" s="590" t="s">
        <v>403</v>
      </c>
    </row>
    <row r="16" spans="1:19" ht="15">
      <c r="A16" s="590"/>
      <c r="B16" s="590" t="s">
        <v>405</v>
      </c>
      <c r="C16" s="590" t="s">
        <v>406</v>
      </c>
      <c r="D16" s="590" t="s">
        <v>610</v>
      </c>
      <c r="E16" s="590" t="s">
        <v>407</v>
      </c>
      <c r="F16" s="591"/>
      <c r="G16" s="592" t="s">
        <v>406</v>
      </c>
      <c r="H16" s="590" t="s">
        <v>610</v>
      </c>
      <c r="I16" s="590" t="s">
        <v>407</v>
      </c>
      <c r="J16" s="591"/>
      <c r="K16" s="590" t="s">
        <v>406</v>
      </c>
      <c r="L16" s="590" t="s">
        <v>610</v>
      </c>
      <c r="M16" s="590" t="s">
        <v>407</v>
      </c>
      <c r="N16" s="591"/>
      <c r="O16" s="590" t="s">
        <v>406</v>
      </c>
      <c r="P16" s="590" t="s">
        <v>610</v>
      </c>
      <c r="Q16" s="590" t="s">
        <v>407</v>
      </c>
      <c r="R16" s="591"/>
      <c r="S16" s="590" t="s">
        <v>407</v>
      </c>
    </row>
    <row r="17" spans="1:19" ht="15">
      <c r="A17" s="587"/>
      <c r="B17" s="587"/>
      <c r="C17" s="587"/>
      <c r="D17" s="587"/>
      <c r="E17" s="587"/>
      <c r="F17" s="587"/>
      <c r="G17" s="231"/>
      <c r="H17" s="587"/>
      <c r="I17" s="587"/>
      <c r="J17" s="587"/>
      <c r="K17" s="587"/>
      <c r="L17" s="587"/>
      <c r="M17" s="587"/>
      <c r="N17" s="587"/>
      <c r="O17" s="587"/>
      <c r="P17" s="587"/>
      <c r="Q17" s="587"/>
      <c r="R17" s="587"/>
      <c r="S17" s="587"/>
    </row>
    <row r="18" spans="1:19" ht="15.75" thickBot="1">
      <c r="A18" s="596"/>
      <c r="B18" s="589"/>
      <c r="C18" s="225"/>
      <c r="D18" s="589"/>
      <c r="E18" s="589"/>
      <c r="F18" s="589"/>
      <c r="G18" s="225"/>
      <c r="H18" s="589"/>
      <c r="I18" s="589"/>
      <c r="J18" s="589"/>
      <c r="K18" s="225"/>
      <c r="L18" s="589"/>
      <c r="M18" s="589"/>
      <c r="N18" s="589"/>
      <c r="O18" s="225"/>
      <c r="P18" s="589"/>
      <c r="Q18" s="589"/>
      <c r="R18" s="589"/>
      <c r="S18" s="589"/>
    </row>
    <row r="19" spans="1:19" ht="15">
      <c r="A19" s="597" t="s">
        <v>408</v>
      </c>
      <c r="B19" s="598"/>
      <c r="C19" s="226"/>
      <c r="D19" s="227"/>
      <c r="E19" s="228"/>
      <c r="F19" s="598"/>
      <c r="G19" s="226"/>
      <c r="H19" s="229"/>
      <c r="I19" s="228"/>
      <c r="J19" s="598"/>
      <c r="K19" s="598"/>
      <c r="L19" s="229"/>
      <c r="M19" s="228"/>
      <c r="N19" s="598"/>
      <c r="O19" s="598"/>
      <c r="P19" s="227"/>
      <c r="Q19" s="228"/>
      <c r="R19" s="598"/>
      <c r="S19" s="228"/>
    </row>
    <row r="20" spans="1:19" ht="15">
      <c r="A20" s="1105" t="s">
        <v>611</v>
      </c>
      <c r="B20" s="230">
        <v>350.1</v>
      </c>
      <c r="C20" s="225">
        <v>6.5839999999999996E-3</v>
      </c>
      <c r="D20" s="1106">
        <v>1</v>
      </c>
      <c r="E20" s="225">
        <v>6.6E-3</v>
      </c>
      <c r="F20" s="589"/>
      <c r="G20" s="225"/>
      <c r="H20" s="232"/>
      <c r="I20" s="231"/>
      <c r="J20" s="589"/>
      <c r="K20" s="225"/>
      <c r="L20" s="232"/>
      <c r="M20" s="231"/>
      <c r="N20" s="589"/>
      <c r="O20" s="225"/>
      <c r="P20" s="1106"/>
      <c r="Q20" s="231"/>
      <c r="R20" s="589"/>
      <c r="S20" s="225">
        <v>6.6E-3</v>
      </c>
    </row>
    <row r="21" spans="1:19" ht="15">
      <c r="A21" s="1105" t="s">
        <v>612</v>
      </c>
      <c r="B21" s="230">
        <v>351</v>
      </c>
      <c r="C21" s="225"/>
      <c r="D21" s="1106"/>
      <c r="E21" s="225"/>
      <c r="F21" s="589"/>
      <c r="G21" s="225">
        <v>0.14219999999999999</v>
      </c>
      <c r="H21" s="232">
        <v>1</v>
      </c>
      <c r="I21" s="225">
        <v>0.14219999999999999</v>
      </c>
      <c r="J21" s="589"/>
      <c r="K21" s="225"/>
      <c r="L21" s="232"/>
      <c r="M21" s="231"/>
      <c r="N21" s="589"/>
      <c r="O21" s="225"/>
      <c r="P21" s="1106"/>
      <c r="Q21" s="231"/>
      <c r="R21" s="589"/>
      <c r="S21" s="225">
        <v>0.14219999999999999</v>
      </c>
    </row>
    <row r="22" spans="1:19" ht="15">
      <c r="A22" s="587" t="s">
        <v>409</v>
      </c>
      <c r="B22" s="230">
        <v>352</v>
      </c>
      <c r="C22" s="225">
        <v>2.2200000000000001E-2</v>
      </c>
      <c r="D22" s="232">
        <v>0.51122100000000004</v>
      </c>
      <c r="E22" s="225">
        <v>1.1299999999999999E-2</v>
      </c>
      <c r="F22" s="589"/>
      <c r="G22" s="225">
        <v>1.6199999999999999E-2</v>
      </c>
      <c r="H22" s="232">
        <v>0.39937400000000001</v>
      </c>
      <c r="I22" s="225">
        <v>6.4999999999999997E-3</v>
      </c>
      <c r="J22" s="589"/>
      <c r="K22" s="225">
        <v>2.1899999999999999E-2</v>
      </c>
      <c r="L22" s="232">
        <v>3.3013000000000001E-2</v>
      </c>
      <c r="M22" s="225">
        <v>6.9999999999999999E-4</v>
      </c>
      <c r="N22" s="589"/>
      <c r="O22" s="225">
        <v>2.1899999999999999E-2</v>
      </c>
      <c r="P22" s="232">
        <v>5.6391999999999998E-2</v>
      </c>
      <c r="Q22" s="225">
        <v>1.1999999999999999E-3</v>
      </c>
      <c r="R22" s="589"/>
      <c r="S22" s="225">
        <v>1.9699999999999999E-2</v>
      </c>
    </row>
    <row r="23" spans="1:19" ht="15">
      <c r="A23" s="587" t="s">
        <v>410</v>
      </c>
      <c r="B23" s="230">
        <v>353</v>
      </c>
      <c r="C23" s="225">
        <v>2.75E-2</v>
      </c>
      <c r="D23" s="232">
        <v>0.51122100000000004</v>
      </c>
      <c r="E23" s="225">
        <v>1.41E-2</v>
      </c>
      <c r="F23" s="589"/>
      <c r="G23" s="225">
        <v>2.3699999999999999E-2</v>
      </c>
      <c r="H23" s="232">
        <v>0.39937400000000001</v>
      </c>
      <c r="I23" s="225">
        <v>9.4999999999999998E-3</v>
      </c>
      <c r="J23" s="589"/>
      <c r="K23" s="225">
        <v>2.1899999999999999E-2</v>
      </c>
      <c r="L23" s="232">
        <v>3.3013000000000001E-2</v>
      </c>
      <c r="M23" s="225">
        <v>6.9999999999999999E-4</v>
      </c>
      <c r="N23" s="589"/>
      <c r="O23" s="225">
        <v>2.1899999999999999E-2</v>
      </c>
      <c r="P23" s="232">
        <v>5.6391999999999998E-2</v>
      </c>
      <c r="Q23" s="225">
        <v>1.1999999999999999E-3</v>
      </c>
      <c r="R23" s="589"/>
      <c r="S23" s="225">
        <v>2.5499999999999998E-2</v>
      </c>
    </row>
    <row r="24" spans="1:19" ht="15">
      <c r="A24" s="587" t="s">
        <v>411</v>
      </c>
      <c r="B24" s="230">
        <v>354</v>
      </c>
      <c r="C24" s="225">
        <v>1.6299999999999999E-2</v>
      </c>
      <c r="D24" s="232">
        <v>0.51122100000000004</v>
      </c>
      <c r="E24" s="225">
        <v>8.3000000000000001E-3</v>
      </c>
      <c r="F24" s="589"/>
      <c r="G24" s="225">
        <v>1.5900000000000001E-2</v>
      </c>
      <c r="H24" s="232">
        <v>0.39937400000000001</v>
      </c>
      <c r="I24" s="225">
        <v>6.4000000000000003E-3</v>
      </c>
      <c r="J24" s="589"/>
      <c r="K24" s="225">
        <v>2.1899999999999999E-2</v>
      </c>
      <c r="L24" s="232">
        <v>3.3013000000000001E-2</v>
      </c>
      <c r="M24" s="225">
        <v>6.9999999999999999E-4</v>
      </c>
      <c r="N24" s="589"/>
      <c r="O24" s="225">
        <v>2.1899999999999999E-2</v>
      </c>
      <c r="P24" s="232">
        <v>5.6391999999999998E-2</v>
      </c>
      <c r="Q24" s="225">
        <v>1.1999999999999999E-3</v>
      </c>
      <c r="R24" s="589"/>
      <c r="S24" s="225">
        <v>1.66E-2</v>
      </c>
    </row>
    <row r="25" spans="1:19" ht="15">
      <c r="A25" s="587" t="s">
        <v>412</v>
      </c>
      <c r="B25" s="230">
        <v>355</v>
      </c>
      <c r="C25" s="225">
        <v>3.7199999999999997E-2</v>
      </c>
      <c r="D25" s="232">
        <v>0.51122100000000004</v>
      </c>
      <c r="E25" s="225">
        <v>1.9E-2</v>
      </c>
      <c r="F25" s="589"/>
      <c r="G25" s="225">
        <v>2.7099999999999999E-2</v>
      </c>
      <c r="H25" s="232">
        <v>0.39937400000000001</v>
      </c>
      <c r="I25" s="225">
        <v>1.0800000000000001E-2</v>
      </c>
      <c r="J25" s="589"/>
      <c r="K25" s="225">
        <v>2.1899999999999999E-2</v>
      </c>
      <c r="L25" s="232">
        <v>3.3013000000000001E-2</v>
      </c>
      <c r="M25" s="225">
        <v>6.9999999999999999E-4</v>
      </c>
      <c r="N25" s="589"/>
      <c r="O25" s="225">
        <v>2.1899999999999999E-2</v>
      </c>
      <c r="P25" s="232">
        <v>5.6391999999999998E-2</v>
      </c>
      <c r="Q25" s="225">
        <v>1.1999999999999999E-3</v>
      </c>
      <c r="R25" s="589"/>
      <c r="S25" s="225">
        <v>3.1699999999999999E-2</v>
      </c>
    </row>
    <row r="26" spans="1:19" ht="15">
      <c r="A26" s="587" t="s">
        <v>613</v>
      </c>
      <c r="B26" s="230">
        <v>356</v>
      </c>
      <c r="C26" s="225">
        <v>1.9900000000000001E-2</v>
      </c>
      <c r="D26" s="232">
        <v>0.51122100000000004</v>
      </c>
      <c r="E26" s="225">
        <v>1.0200000000000001E-2</v>
      </c>
      <c r="F26" s="589"/>
      <c r="G26" s="225">
        <v>1.5299999999999999E-2</v>
      </c>
      <c r="H26" s="232">
        <v>0.39937400000000001</v>
      </c>
      <c r="I26" s="225">
        <v>6.1000000000000004E-3</v>
      </c>
      <c r="J26" s="589"/>
      <c r="K26" s="225">
        <v>2.1899999999999999E-2</v>
      </c>
      <c r="L26" s="232">
        <v>3.3013000000000001E-2</v>
      </c>
      <c r="M26" s="225">
        <v>6.9999999999999999E-4</v>
      </c>
      <c r="N26" s="589"/>
      <c r="O26" s="225">
        <v>2.1899999999999999E-2</v>
      </c>
      <c r="P26" s="232">
        <v>5.6391999999999998E-2</v>
      </c>
      <c r="Q26" s="225">
        <v>1.1999999999999999E-3</v>
      </c>
      <c r="R26" s="589"/>
      <c r="S26" s="225">
        <v>1.8200000000000001E-2</v>
      </c>
    </row>
    <row r="27" spans="1:19" ht="15">
      <c r="A27" s="587" t="s">
        <v>413</v>
      </c>
      <c r="B27" s="230">
        <v>357</v>
      </c>
      <c r="C27" s="225">
        <v>2.4E-2</v>
      </c>
      <c r="D27" s="232">
        <v>0.51122100000000004</v>
      </c>
      <c r="E27" s="225">
        <v>1.23E-2</v>
      </c>
      <c r="F27" s="589"/>
      <c r="G27" s="225">
        <v>3.7100000000000001E-2</v>
      </c>
      <c r="H27" s="232">
        <v>0.39937400000000001</v>
      </c>
      <c r="I27" s="225">
        <v>1.4800000000000001E-2</v>
      </c>
      <c r="J27" s="589"/>
      <c r="K27" s="225">
        <v>2.1899999999999999E-2</v>
      </c>
      <c r="L27" s="232">
        <v>3.3013000000000001E-2</v>
      </c>
      <c r="M27" s="225">
        <v>6.9999999999999999E-4</v>
      </c>
      <c r="N27" s="589"/>
      <c r="O27" s="225">
        <v>2.1899999999999999E-2</v>
      </c>
      <c r="P27" s="232">
        <v>5.6391999999999998E-2</v>
      </c>
      <c r="Q27" s="225">
        <v>1.1999999999999999E-3</v>
      </c>
      <c r="R27" s="589"/>
      <c r="S27" s="225">
        <v>2.9000000000000001E-2</v>
      </c>
    </row>
    <row r="28" spans="1:19" ht="15">
      <c r="A28" s="587" t="s">
        <v>414</v>
      </c>
      <c r="B28" s="230">
        <v>358</v>
      </c>
      <c r="C28" s="225">
        <v>4.6399999999999997E-2</v>
      </c>
      <c r="D28" s="232">
        <v>0.51122100000000004</v>
      </c>
      <c r="E28" s="225">
        <v>2.3699999999999999E-2</v>
      </c>
      <c r="F28" s="589"/>
      <c r="G28" s="225">
        <v>5.2400000000000002E-2</v>
      </c>
      <c r="H28" s="232">
        <v>0.39937400000000001</v>
      </c>
      <c r="I28" s="225">
        <v>2.0899999999999998E-2</v>
      </c>
      <c r="J28" s="589"/>
      <c r="K28" s="225">
        <v>2.1899999999999999E-2</v>
      </c>
      <c r="L28" s="232">
        <v>3.3013000000000001E-2</v>
      </c>
      <c r="M28" s="225">
        <v>6.9999999999999999E-4</v>
      </c>
      <c r="N28" s="589"/>
      <c r="O28" s="225">
        <v>2.1899999999999999E-2</v>
      </c>
      <c r="P28" s="232">
        <v>5.6391999999999998E-2</v>
      </c>
      <c r="Q28" s="225">
        <v>1.1999999999999999E-3</v>
      </c>
      <c r="R28" s="589"/>
      <c r="S28" s="225">
        <v>4.65E-2</v>
      </c>
    </row>
    <row r="29" spans="1:19" ht="15.75" thickBot="1">
      <c r="A29" s="587"/>
      <c r="B29" s="589"/>
      <c r="C29" s="225"/>
      <c r="D29" s="1106"/>
      <c r="E29" s="231"/>
      <c r="F29" s="589"/>
      <c r="G29" s="225"/>
      <c r="H29" s="1106"/>
      <c r="I29" s="231"/>
      <c r="J29" s="589"/>
      <c r="K29" s="225"/>
      <c r="L29" s="1106"/>
      <c r="M29" s="231"/>
      <c r="N29" s="589"/>
      <c r="O29" s="225"/>
      <c r="P29" s="1106"/>
      <c r="Q29" s="225"/>
      <c r="R29" s="589"/>
      <c r="S29" s="225"/>
    </row>
    <row r="30" spans="1:19" ht="15">
      <c r="A30" s="967" t="s">
        <v>954</v>
      </c>
      <c r="B30" s="968"/>
      <c r="C30" s="1107"/>
      <c r="D30" s="969"/>
      <c r="E30" s="970"/>
      <c r="F30" s="968"/>
      <c r="G30" s="1107"/>
      <c r="H30" s="969"/>
      <c r="I30" s="970"/>
      <c r="J30" s="968"/>
      <c r="K30" s="968"/>
      <c r="L30" s="969"/>
      <c r="M30" s="970"/>
      <c r="N30" s="968"/>
      <c r="O30" s="968"/>
      <c r="P30" s="969"/>
      <c r="Q30" s="970"/>
      <c r="R30" s="968"/>
      <c r="S30" s="971"/>
    </row>
    <row r="31" spans="1:19" ht="15">
      <c r="A31" s="1105" t="s">
        <v>811</v>
      </c>
      <c r="B31" s="230">
        <v>390</v>
      </c>
      <c r="C31" s="225">
        <v>2.06E-2</v>
      </c>
      <c r="D31" s="1106">
        <v>0.523756</v>
      </c>
      <c r="E31" s="225">
        <v>1.0800000000000001E-2</v>
      </c>
      <c r="F31" s="589"/>
      <c r="G31" s="225">
        <v>1.9099999999999999E-2</v>
      </c>
      <c r="H31" s="232">
        <v>0.42593999999999999</v>
      </c>
      <c r="I31" s="225">
        <v>8.0999999999999996E-3</v>
      </c>
      <c r="J31" s="589"/>
      <c r="K31" s="225">
        <v>3.4300000000000004E-2</v>
      </c>
      <c r="L31" s="232">
        <v>1.9295E-2</v>
      </c>
      <c r="M31" s="225">
        <v>6.9999999999999999E-4</v>
      </c>
      <c r="N31" s="589"/>
      <c r="O31" s="225">
        <v>3.4300000000000004E-2</v>
      </c>
      <c r="P31" s="1106">
        <v>3.1008999999999998E-2</v>
      </c>
      <c r="Q31" s="225">
        <v>1.1000000000000001E-3</v>
      </c>
      <c r="R31" s="589"/>
      <c r="S31" s="225">
        <v>2.07E-2</v>
      </c>
    </row>
    <row r="32" spans="1:19" ht="15">
      <c r="A32" s="1105" t="s">
        <v>812</v>
      </c>
      <c r="B32" s="230">
        <v>391</v>
      </c>
      <c r="C32" s="225">
        <v>3.2500000000000001E-2</v>
      </c>
      <c r="D32" s="1106">
        <v>0.523756</v>
      </c>
      <c r="E32" s="225">
        <v>1.7000000000000001E-2</v>
      </c>
      <c r="F32" s="589"/>
      <c r="G32" s="225">
        <v>3.1699999999999999E-2</v>
      </c>
      <c r="H32" s="232">
        <v>0.42593999999999999</v>
      </c>
      <c r="I32" s="225">
        <v>1.35E-2</v>
      </c>
      <c r="J32" s="589"/>
      <c r="K32" s="225">
        <v>3.4300000000000004E-2</v>
      </c>
      <c r="L32" s="232">
        <v>1.9295E-2</v>
      </c>
      <c r="M32" s="225">
        <v>6.9999999999999999E-4</v>
      </c>
      <c r="N32" s="589"/>
      <c r="O32" s="225">
        <v>3.4300000000000004E-2</v>
      </c>
      <c r="P32" s="1106">
        <v>3.1008999999999998E-2</v>
      </c>
      <c r="Q32" s="225">
        <v>1.1000000000000001E-3</v>
      </c>
      <c r="R32" s="589"/>
      <c r="S32" s="225">
        <v>3.2300000000000002E-2</v>
      </c>
    </row>
    <row r="33" spans="1:19" ht="15">
      <c r="A33" s="1105" t="s">
        <v>955</v>
      </c>
      <c r="B33" s="230">
        <v>392</v>
      </c>
      <c r="C33" s="225">
        <v>3.4500000000000003E-2</v>
      </c>
      <c r="D33" s="232">
        <v>0.523756</v>
      </c>
      <c r="E33" s="225">
        <v>1.8100000000000002E-2</v>
      </c>
      <c r="F33" s="589"/>
      <c r="G33" s="225">
        <v>3.4000000000000002E-2</v>
      </c>
      <c r="H33" s="232">
        <v>0.42593999999999999</v>
      </c>
      <c r="I33" s="225">
        <v>1.4500000000000001E-2</v>
      </c>
      <c r="J33" s="589"/>
      <c r="K33" s="225">
        <v>3.4300000000000004E-2</v>
      </c>
      <c r="L33" s="232">
        <v>1.9295E-2</v>
      </c>
      <c r="M33" s="225">
        <v>6.9999999999999999E-4</v>
      </c>
      <c r="N33" s="589"/>
      <c r="O33" s="225">
        <v>3.4300000000000004E-2</v>
      </c>
      <c r="P33" s="232">
        <v>3.1008999999999998E-2</v>
      </c>
      <c r="Q33" s="225">
        <v>1.1000000000000001E-3</v>
      </c>
      <c r="R33" s="589"/>
      <c r="S33" s="225">
        <v>3.44E-2</v>
      </c>
    </row>
    <row r="34" spans="1:19" ht="15">
      <c r="A34" s="1105" t="s">
        <v>813</v>
      </c>
      <c r="B34" s="230">
        <v>393</v>
      </c>
      <c r="C34" s="225">
        <v>1.78E-2</v>
      </c>
      <c r="D34" s="232">
        <v>0.523756</v>
      </c>
      <c r="E34" s="225">
        <v>9.2999999999999992E-3</v>
      </c>
      <c r="F34" s="589"/>
      <c r="G34" s="225">
        <v>1.7999999999999999E-2</v>
      </c>
      <c r="H34" s="232">
        <v>0.42593999999999999</v>
      </c>
      <c r="I34" s="225">
        <v>7.7000000000000002E-3</v>
      </c>
      <c r="J34" s="589"/>
      <c r="K34" s="225">
        <v>3.4300000000000004E-2</v>
      </c>
      <c r="L34" s="232">
        <v>1.9295E-2</v>
      </c>
      <c r="M34" s="225">
        <v>6.9999999999999999E-4</v>
      </c>
      <c r="N34" s="589"/>
      <c r="O34" s="225">
        <v>3.4300000000000004E-2</v>
      </c>
      <c r="P34" s="232">
        <v>3.1008999999999998E-2</v>
      </c>
      <c r="Q34" s="225">
        <v>1.1000000000000001E-3</v>
      </c>
      <c r="R34" s="589"/>
      <c r="S34" s="225">
        <v>1.8800000000000001E-2</v>
      </c>
    </row>
    <row r="35" spans="1:19" ht="15.75" customHeight="1">
      <c r="A35" s="1105" t="s">
        <v>814</v>
      </c>
      <c r="B35" s="230">
        <v>394</v>
      </c>
      <c r="C35" s="225">
        <v>2.5899999999999999E-2</v>
      </c>
      <c r="D35" s="232">
        <v>0.523756</v>
      </c>
      <c r="E35" s="225">
        <v>1.3599999999999999E-2</v>
      </c>
      <c r="F35" s="589"/>
      <c r="G35" s="225">
        <v>2.5700000000000001E-2</v>
      </c>
      <c r="H35" s="232">
        <v>0.42593999999999999</v>
      </c>
      <c r="I35" s="225">
        <v>1.09E-2</v>
      </c>
      <c r="J35" s="589"/>
      <c r="K35" s="225">
        <v>3.4300000000000004E-2</v>
      </c>
      <c r="L35" s="232">
        <v>1.9295E-2</v>
      </c>
      <c r="M35" s="225">
        <v>6.9999999999999999E-4</v>
      </c>
      <c r="N35" s="589"/>
      <c r="O35" s="225">
        <v>3.4300000000000004E-2</v>
      </c>
      <c r="P35" s="232">
        <v>3.1008999999999998E-2</v>
      </c>
      <c r="Q35" s="225">
        <v>1.1000000000000001E-3</v>
      </c>
      <c r="R35" s="589"/>
      <c r="S35" s="225">
        <v>2.63E-2</v>
      </c>
    </row>
    <row r="36" spans="1:19" ht="15.75" customHeight="1">
      <c r="A36" s="1105" t="s">
        <v>815</v>
      </c>
      <c r="B36" s="230">
        <v>395</v>
      </c>
      <c r="C36" s="225">
        <v>3.5000000000000003E-2</v>
      </c>
      <c r="D36" s="232">
        <v>0.523756</v>
      </c>
      <c r="E36" s="225">
        <v>1.83E-2</v>
      </c>
      <c r="F36" s="589"/>
      <c r="G36" s="225">
        <v>4.0099999999999997E-2</v>
      </c>
      <c r="H36" s="232">
        <v>0.42593999999999999</v>
      </c>
      <c r="I36" s="225">
        <v>1.7100000000000001E-2</v>
      </c>
      <c r="J36" s="589"/>
      <c r="K36" s="225">
        <v>3.4300000000000004E-2</v>
      </c>
      <c r="L36" s="232">
        <v>1.9295E-2</v>
      </c>
      <c r="M36" s="225">
        <v>6.9999999999999999E-4</v>
      </c>
      <c r="N36" s="589"/>
      <c r="O36" s="225">
        <v>3.4300000000000004E-2</v>
      </c>
      <c r="P36" s="232">
        <v>3.1008999999999998E-2</v>
      </c>
      <c r="Q36" s="225">
        <v>1.1000000000000001E-3</v>
      </c>
      <c r="R36" s="589"/>
      <c r="S36" s="225">
        <v>3.7199999999999997E-2</v>
      </c>
    </row>
    <row r="37" spans="1:19" ht="15.75" customHeight="1">
      <c r="A37" s="1105" t="s">
        <v>956</v>
      </c>
      <c r="B37" s="230">
        <v>396</v>
      </c>
      <c r="C37" s="225">
        <v>4.1599999999999998E-2</v>
      </c>
      <c r="D37" s="232">
        <v>0.523756</v>
      </c>
      <c r="E37" s="225">
        <v>2.18E-2</v>
      </c>
      <c r="F37" s="589"/>
      <c r="G37" s="225">
        <v>3.9E-2</v>
      </c>
      <c r="H37" s="232">
        <v>0.42593999999999999</v>
      </c>
      <c r="I37" s="225">
        <v>1.66E-2</v>
      </c>
      <c r="J37" s="589"/>
      <c r="K37" s="225">
        <v>3.4300000000000004E-2</v>
      </c>
      <c r="L37" s="232">
        <v>1.9295E-2</v>
      </c>
      <c r="M37" s="225">
        <v>6.9999999999999999E-4</v>
      </c>
      <c r="N37" s="589"/>
      <c r="O37" s="225">
        <v>3.4300000000000004E-2</v>
      </c>
      <c r="P37" s="232">
        <v>3.1008999999999998E-2</v>
      </c>
      <c r="Q37" s="225">
        <v>1.1000000000000001E-3</v>
      </c>
      <c r="R37" s="589"/>
      <c r="S37" s="225">
        <v>4.02E-2</v>
      </c>
    </row>
    <row r="38" spans="1:19" ht="15">
      <c r="A38" s="1105" t="s">
        <v>816</v>
      </c>
      <c r="B38" s="230">
        <v>397</v>
      </c>
      <c r="C38" s="225">
        <v>5.0200000000000002E-2</v>
      </c>
      <c r="D38" s="232">
        <v>0.523756</v>
      </c>
      <c r="E38" s="225">
        <v>2.63E-2</v>
      </c>
      <c r="F38" s="589"/>
      <c r="G38" s="225">
        <v>4.9799999999999997E-2</v>
      </c>
      <c r="H38" s="232">
        <v>0.42593999999999999</v>
      </c>
      <c r="I38" s="225">
        <v>2.12E-2</v>
      </c>
      <c r="J38" s="589"/>
      <c r="K38" s="225">
        <v>3.4300000000000004E-2</v>
      </c>
      <c r="L38" s="232">
        <v>1.9295E-2</v>
      </c>
      <c r="M38" s="225">
        <v>6.9999999999999999E-4</v>
      </c>
      <c r="N38" s="589"/>
      <c r="O38" s="225">
        <v>3.4300000000000004E-2</v>
      </c>
      <c r="P38" s="232">
        <v>3.1008999999999998E-2</v>
      </c>
      <c r="Q38" s="225">
        <v>1.1000000000000001E-3</v>
      </c>
      <c r="R38" s="589"/>
      <c r="S38" s="225">
        <v>4.9299999999999997E-2</v>
      </c>
    </row>
    <row r="39" spans="1:19" ht="15">
      <c r="A39" s="1105" t="s">
        <v>817</v>
      </c>
      <c r="B39" s="230">
        <v>398</v>
      </c>
      <c r="C39" s="225">
        <v>2.7099999999999999E-2</v>
      </c>
      <c r="D39" s="232">
        <v>0.523756</v>
      </c>
      <c r="E39" s="225">
        <v>1.4200000000000001E-2</v>
      </c>
      <c r="F39" s="589"/>
      <c r="G39" s="225">
        <v>2.7E-2</v>
      </c>
      <c r="H39" s="232">
        <v>0.42593999999999999</v>
      </c>
      <c r="I39" s="225">
        <v>1.15E-2</v>
      </c>
      <c r="J39" s="589"/>
      <c r="K39" s="225">
        <v>3.4300000000000004E-2</v>
      </c>
      <c r="L39" s="232">
        <v>1.9295E-2</v>
      </c>
      <c r="M39" s="225">
        <v>6.9999999999999999E-4</v>
      </c>
      <c r="N39" s="589"/>
      <c r="O39" s="225">
        <v>3.4300000000000004E-2</v>
      </c>
      <c r="P39" s="232">
        <v>3.1008999999999998E-2</v>
      </c>
      <c r="Q39" s="225">
        <v>1.1000000000000001E-3</v>
      </c>
      <c r="R39" s="589"/>
      <c r="S39" s="225">
        <v>2.75E-2</v>
      </c>
    </row>
    <row r="40" spans="1:19" ht="15.75" thickBot="1">
      <c r="A40" s="972"/>
      <c r="B40" s="973"/>
      <c r="C40" s="974"/>
      <c r="D40" s="975"/>
      <c r="E40" s="976"/>
      <c r="F40" s="973"/>
      <c r="G40" s="976"/>
      <c r="H40" s="975"/>
      <c r="I40" s="976"/>
      <c r="J40" s="973"/>
      <c r="K40" s="974"/>
      <c r="L40" s="975"/>
      <c r="M40" s="976"/>
      <c r="N40" s="973"/>
      <c r="O40" s="974"/>
      <c r="P40" s="975"/>
      <c r="Q40" s="976"/>
      <c r="R40" s="973"/>
      <c r="S40" s="976"/>
    </row>
    <row r="41" spans="1:19" ht="15">
      <c r="A41" s="587"/>
      <c r="B41" s="589"/>
      <c r="C41" s="225"/>
      <c r="D41" s="587"/>
      <c r="E41" s="587"/>
      <c r="F41" s="587"/>
      <c r="G41" s="231"/>
      <c r="H41" s="587"/>
      <c r="I41" s="587"/>
      <c r="J41" s="587"/>
      <c r="K41" s="587"/>
      <c r="L41" s="587"/>
      <c r="M41" s="587"/>
      <c r="N41" s="587"/>
      <c r="O41" s="587"/>
      <c r="P41" s="587"/>
      <c r="Q41" s="587"/>
      <c r="R41" s="587"/>
      <c r="S41" s="587"/>
    </row>
    <row r="42" spans="1:19" ht="15" customHeight="1">
      <c r="A42" s="1285" t="s">
        <v>1158</v>
      </c>
      <c r="B42" s="1285"/>
      <c r="C42" s="1285"/>
      <c r="D42" s="1285"/>
      <c r="F42" s="1108" t="s">
        <v>125</v>
      </c>
      <c r="G42" s="639" t="s">
        <v>1044</v>
      </c>
      <c r="H42" s="1026"/>
      <c r="L42" s="1109" t="s">
        <v>615</v>
      </c>
      <c r="M42" t="s">
        <v>1159</v>
      </c>
    </row>
    <row r="43" spans="1:19">
      <c r="A43" s="1285"/>
      <c r="B43" s="1285"/>
      <c r="C43" s="1285"/>
      <c r="D43" s="1285"/>
      <c r="F43" s="1110"/>
      <c r="G43" s="639"/>
      <c r="H43" s="1026"/>
      <c r="M43" t="s">
        <v>1160</v>
      </c>
    </row>
    <row r="44" spans="1:19" ht="15" customHeight="1">
      <c r="A44" s="1285"/>
      <c r="B44" s="1285"/>
      <c r="C44" s="1285"/>
      <c r="D44" s="1285"/>
      <c r="F44" s="1109" t="s">
        <v>614</v>
      </c>
      <c r="G44" s="639" t="s">
        <v>1045</v>
      </c>
      <c r="M44" t="s">
        <v>616</v>
      </c>
    </row>
    <row r="45" spans="1:19">
      <c r="A45" s="1285"/>
      <c r="B45" s="1285"/>
      <c r="C45" s="1285"/>
      <c r="D45" s="1285"/>
      <c r="F45" s="1110"/>
      <c r="G45" s="639"/>
      <c r="H45" s="1026"/>
    </row>
    <row r="46" spans="1:19" ht="15.75" customHeight="1">
      <c r="A46" t="s">
        <v>1161</v>
      </c>
      <c r="B46" s="1111"/>
      <c r="C46" s="1112"/>
      <c r="D46" s="1111"/>
      <c r="E46" s="1111"/>
      <c r="F46" s="1109"/>
      <c r="H46" s="1026"/>
      <c r="L46" s="1109" t="s">
        <v>617</v>
      </c>
      <c r="M46" t="s">
        <v>1048</v>
      </c>
    </row>
    <row r="47" spans="1:19" ht="15.75" customHeight="1">
      <c r="B47" s="1111"/>
      <c r="C47" s="1112"/>
      <c r="D47" s="1113"/>
      <c r="E47" s="1113"/>
      <c r="F47" s="1114"/>
      <c r="M47" t="s">
        <v>1049</v>
      </c>
    </row>
    <row r="48" spans="1:19" ht="15.75" customHeight="1">
      <c r="A48" t="s">
        <v>1046</v>
      </c>
      <c r="B48" s="1111"/>
      <c r="C48" s="1112"/>
      <c r="D48" s="1111"/>
      <c r="E48" s="1111"/>
      <c r="G48" s="639"/>
      <c r="O48" s="1115"/>
    </row>
    <row r="49" spans="1:19" ht="15.75">
      <c r="A49" t="s">
        <v>1047</v>
      </c>
      <c r="B49" s="1111"/>
      <c r="C49" s="1112"/>
      <c r="D49" s="1111"/>
      <c r="E49" s="1111"/>
      <c r="G49" s="639"/>
      <c r="L49" s="1109" t="s">
        <v>1162</v>
      </c>
      <c r="M49" s="1251" t="s">
        <v>1163</v>
      </c>
      <c r="N49" s="1251"/>
      <c r="O49" s="1251"/>
      <c r="P49" s="1251"/>
      <c r="Q49" s="1251"/>
      <c r="R49" s="1251"/>
      <c r="S49" s="1251"/>
    </row>
    <row r="50" spans="1:19" ht="15.75" customHeight="1">
      <c r="B50" s="1111"/>
      <c r="C50" s="1112"/>
      <c r="D50" s="1113"/>
      <c r="E50" s="1113"/>
      <c r="G50" s="639"/>
      <c r="M50" s="1251"/>
      <c r="N50" s="1251"/>
      <c r="O50" s="1251"/>
      <c r="P50" s="1251"/>
      <c r="Q50" s="1251"/>
      <c r="R50" s="1251"/>
      <c r="S50" s="1251"/>
    </row>
    <row r="51" spans="1:19">
      <c r="B51" s="1116"/>
      <c r="C51" s="1117"/>
      <c r="G51" s="639"/>
      <c r="M51" s="1251"/>
      <c r="N51" s="1251"/>
      <c r="O51" s="1251"/>
      <c r="P51" s="1251"/>
      <c r="Q51" s="1251"/>
      <c r="R51" s="1251"/>
      <c r="S51" s="1251"/>
    </row>
    <row r="52" spans="1:19" ht="15">
      <c r="A52" s="600" t="s">
        <v>29</v>
      </c>
      <c r="B52" s="601"/>
      <c r="C52" s="601"/>
      <c r="D52" s="602"/>
      <c r="E52" s="587"/>
      <c r="F52" s="587"/>
      <c r="G52" s="231"/>
      <c r="H52" s="587"/>
      <c r="I52" s="587"/>
      <c r="J52" s="587"/>
      <c r="K52" s="587"/>
      <c r="L52" s="587"/>
      <c r="M52" s="587"/>
      <c r="N52" s="587"/>
      <c r="O52" s="599"/>
      <c r="P52" s="587"/>
      <c r="Q52" s="587"/>
      <c r="R52" s="587"/>
      <c r="S52" s="587"/>
    </row>
    <row r="53" spans="1:19" ht="15">
      <c r="A53" s="1286" t="s">
        <v>618</v>
      </c>
      <c r="B53" s="1287"/>
      <c r="C53" s="1287"/>
      <c r="D53" s="1287"/>
      <c r="E53" s="1287"/>
      <c r="F53" s="1287"/>
      <c r="G53" s="1287"/>
      <c r="H53" s="1287"/>
      <c r="I53" s="1287"/>
      <c r="J53" s="1287"/>
      <c r="K53" s="1287"/>
      <c r="L53" s="1287"/>
      <c r="M53" s="1287"/>
      <c r="N53" s="1287"/>
      <c r="O53" s="587"/>
      <c r="P53" s="587"/>
      <c r="Q53" s="587"/>
      <c r="R53" s="587"/>
      <c r="S53" s="587"/>
    </row>
    <row r="54" spans="1:19" ht="15">
      <c r="A54" s="1287"/>
      <c r="B54" s="1287"/>
      <c r="C54" s="1287"/>
      <c r="D54" s="1287"/>
      <c r="E54" s="1287"/>
      <c r="F54" s="1287"/>
      <c r="G54" s="1287"/>
      <c r="H54" s="1287"/>
      <c r="I54" s="1287"/>
      <c r="J54" s="1287"/>
      <c r="K54" s="1287"/>
      <c r="L54" s="1287"/>
      <c r="M54" s="1287"/>
      <c r="N54" s="1287"/>
      <c r="O54" s="587"/>
      <c r="P54" s="587"/>
      <c r="Q54" s="587"/>
      <c r="R54" s="587"/>
      <c r="S54" s="587"/>
    </row>
    <row r="55" spans="1:19" ht="15">
      <c r="A55" s="1197" t="s">
        <v>826</v>
      </c>
      <c r="B55" s="1197"/>
      <c r="C55" s="1197"/>
      <c r="D55" s="1197"/>
      <c r="E55" s="1197"/>
      <c r="F55" s="1197"/>
      <c r="G55" s="1197"/>
      <c r="H55" s="1197"/>
      <c r="I55" s="1197"/>
      <c r="J55" s="1197"/>
      <c r="K55" s="1197"/>
      <c r="L55" s="1197"/>
      <c r="M55" s="1197"/>
      <c r="N55" s="1197"/>
      <c r="O55" s="587"/>
      <c r="P55" s="587"/>
      <c r="Q55" s="587"/>
      <c r="R55" s="587"/>
      <c r="S55" s="587"/>
    </row>
    <row r="56" spans="1:19" ht="15">
      <c r="A56" s="1197"/>
      <c r="B56" s="1197"/>
      <c r="C56" s="1197"/>
      <c r="D56" s="1197"/>
      <c r="E56" s="1197"/>
      <c r="F56" s="1197"/>
      <c r="G56" s="1197"/>
      <c r="H56" s="1197"/>
      <c r="I56" s="1197"/>
      <c r="J56" s="1197"/>
      <c r="K56" s="1197"/>
      <c r="L56" s="1197"/>
      <c r="M56" s="1197"/>
      <c r="N56" s="1197"/>
      <c r="O56" s="587"/>
      <c r="P56" s="587"/>
      <c r="Q56" s="587"/>
      <c r="R56" s="587"/>
      <c r="S56" s="587"/>
    </row>
  </sheetData>
  <mergeCells count="16">
    <mergeCell ref="A3:O3"/>
    <mergeCell ref="A6:O6"/>
    <mergeCell ref="A7:O7"/>
    <mergeCell ref="A4:O4"/>
    <mergeCell ref="A5:O5"/>
    <mergeCell ref="A42:D45"/>
    <mergeCell ref="M49:S51"/>
    <mergeCell ref="A55:N56"/>
    <mergeCell ref="A53:N54"/>
    <mergeCell ref="A8:O8"/>
    <mergeCell ref="A9:O9"/>
    <mergeCell ref="A10:O10"/>
    <mergeCell ref="C12:E12"/>
    <mergeCell ref="G12:I12"/>
    <mergeCell ref="K12:M12"/>
    <mergeCell ref="O12:Q12"/>
  </mergeCells>
  <phoneticPr fontId="6" type="noConversion"/>
  <conditionalFormatting sqref="A3 A4:S9 A10 P10:S10">
    <cfRule type="cellIs" dxfId="16" priority="59" stopIfTrue="1" operator="lessThan">
      <formula>0</formula>
    </cfRule>
  </conditionalFormatting>
  <conditionalFormatting sqref="A53">
    <cfRule type="cellIs" dxfId="15" priority="57" stopIfTrue="1" operator="lessThan">
      <formula>0</formula>
    </cfRule>
  </conditionalFormatting>
  <conditionalFormatting sqref="A46:G46 M46:N50 A47:F49 A50:E51">
    <cfRule type="cellIs" dxfId="14" priority="10" stopIfTrue="1" operator="lessThan">
      <formula>0</formula>
    </cfRule>
  </conditionalFormatting>
  <conditionalFormatting sqref="A42:N45 O42:S56">
    <cfRule type="cellIs" dxfId="13" priority="12" stopIfTrue="1" operator="lessThan">
      <formula>0</formula>
    </cfRule>
  </conditionalFormatting>
  <conditionalFormatting sqref="A52:N52">
    <cfRule type="cellIs" dxfId="12" priority="58" stopIfTrue="1" operator="lessThan">
      <formula>0</formula>
    </cfRule>
  </conditionalFormatting>
  <conditionalFormatting sqref="A12:S41">
    <cfRule type="cellIs" dxfId="11" priority="13" stopIfTrue="1" operator="lessThan">
      <formula>0</formula>
    </cfRule>
  </conditionalFormatting>
  <conditionalFormatting sqref="F50:G50">
    <cfRule type="cellIs" dxfId="10" priority="2" stopIfTrue="1" operator="lessThan">
      <formula>0</formula>
    </cfRule>
  </conditionalFormatting>
  <conditionalFormatting sqref="G46">
    <cfRule type="colorScale" priority="9">
      <colorScale>
        <cfvo type="min"/>
        <cfvo type="percentile" val="50"/>
        <cfvo type="max"/>
        <color rgb="FF5A8AC6"/>
        <color rgb="FFFCFCFF"/>
        <color rgb="FFF8696B"/>
      </colorScale>
    </cfRule>
  </conditionalFormatting>
  <conditionalFormatting sqref="G47">
    <cfRule type="colorScale" priority="7">
      <colorScale>
        <cfvo type="min"/>
        <cfvo type="percentile" val="50"/>
        <cfvo type="max"/>
        <color rgb="FF5A8AC6"/>
        <color rgb="FFFCFCFF"/>
        <color rgb="FFF8696B"/>
      </colorScale>
    </cfRule>
    <cfRule type="cellIs" dxfId="9" priority="8" stopIfTrue="1" operator="lessThan">
      <formula>0</formula>
    </cfRule>
  </conditionalFormatting>
  <conditionalFormatting sqref="G48">
    <cfRule type="colorScale" priority="5">
      <colorScale>
        <cfvo type="min"/>
        <cfvo type="percentile" val="50"/>
        <cfvo type="max"/>
        <color rgb="FF5A8AC6"/>
        <color rgb="FFFCFCFF"/>
        <color rgb="FFF8696B"/>
      </colorScale>
    </cfRule>
    <cfRule type="cellIs" dxfId="8" priority="6" stopIfTrue="1" operator="lessThan">
      <formula>0</formula>
    </cfRule>
  </conditionalFormatting>
  <conditionalFormatting sqref="G49">
    <cfRule type="colorScale" priority="3">
      <colorScale>
        <cfvo type="min"/>
        <cfvo type="percentile" val="50"/>
        <cfvo type="max"/>
        <color rgb="FF5A8AC6"/>
        <color rgb="FFFCFCFF"/>
        <color rgb="FFF8696B"/>
      </colorScale>
    </cfRule>
    <cfRule type="cellIs" dxfId="7" priority="4" stopIfTrue="1" operator="lessThan">
      <formula>0</formula>
    </cfRule>
  </conditionalFormatting>
  <conditionalFormatting sqref="G50">
    <cfRule type="colorScale" priority="1">
      <colorScale>
        <cfvo type="min"/>
        <cfvo type="percentile" val="50"/>
        <cfvo type="max"/>
        <color rgb="FF5A8AC6"/>
        <color rgb="FFFCFCFF"/>
        <color rgb="FFF8696B"/>
      </colorScale>
    </cfRule>
  </conditionalFormatting>
  <conditionalFormatting sqref="L51:N51">
    <cfRule type="cellIs" dxfId="6" priority="11" stopIfTrue="1" operator="lessThan">
      <formula>0</formula>
    </cfRule>
  </conditionalFormatting>
  <printOptions horizontalCentered="1"/>
  <pageMargins left="0.55000000000000004" right="0.55000000000000004" top="1.25" bottom="0.75" header="0.75" footer="0.27"/>
  <pageSetup scale="46" orientation="landscape" r:id="rId1"/>
  <headerFooter alignWithMargins="0">
    <oddHeader>&amp;RFormula Rate 
&amp;A
Page &amp;P of &amp;N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K59"/>
  <sheetViews>
    <sheetView tabSelected="1" view="pageBreakPreview" zoomScale="60" zoomScaleNormal="70" workbookViewId="0">
      <selection activeCell="D9" sqref="D9"/>
    </sheetView>
  </sheetViews>
  <sheetFormatPr defaultColWidth="9.140625" defaultRowHeight="12.75"/>
  <cols>
    <col min="1" max="1" width="34.28515625" style="1023" customWidth="1"/>
    <col min="2" max="2" width="9.140625" style="1023"/>
    <col min="3" max="3" width="11.85546875" style="1023" customWidth="1"/>
    <col min="4" max="4" width="18.28515625" style="1023" customWidth="1"/>
    <col min="5" max="5" width="12.5703125" style="1023" customWidth="1"/>
    <col min="6" max="6" width="9.140625" style="1023"/>
    <col min="7" max="7" width="12.140625" style="1023" customWidth="1"/>
    <col min="8" max="8" width="18.85546875" style="1023" customWidth="1"/>
    <col min="9" max="9" width="15.5703125" style="1023" bestFit="1" customWidth="1"/>
    <col min="10" max="16384" width="9.140625" style="1023"/>
  </cols>
  <sheetData>
    <row r="1" spans="1:11" s="587" customFormat="1" ht="15.75">
      <c r="A1" s="693" t="s">
        <v>116</v>
      </c>
      <c r="G1" s="231"/>
    </row>
    <row r="2" spans="1:11" s="587" customFormat="1" ht="15.75">
      <c r="A2" s="693" t="s">
        <v>116</v>
      </c>
      <c r="G2" s="231"/>
    </row>
    <row r="3" spans="1:11" ht="19.5">
      <c r="A3" s="1288" t="s">
        <v>393</v>
      </c>
      <c r="B3" s="1288"/>
      <c r="C3" s="1288"/>
      <c r="D3" s="1288"/>
      <c r="E3" s="1288"/>
      <c r="F3" s="1288"/>
      <c r="G3" s="1288"/>
      <c r="H3" s="1288"/>
      <c r="I3" s="1288"/>
      <c r="J3" s="1288"/>
      <c r="K3" s="1288"/>
    </row>
    <row r="4" spans="1:11" ht="19.5">
      <c r="A4" s="1288" t="s">
        <v>394</v>
      </c>
      <c r="B4" s="1288"/>
      <c r="C4" s="1288"/>
      <c r="D4" s="1288"/>
      <c r="E4" s="1288"/>
      <c r="F4" s="1288"/>
      <c r="G4" s="1288"/>
      <c r="H4" s="1288"/>
      <c r="I4" s="1288"/>
      <c r="J4" s="1288"/>
      <c r="K4" s="1288"/>
    </row>
    <row r="5" spans="1:11" ht="19.5">
      <c r="A5" s="1288" t="s">
        <v>395</v>
      </c>
      <c r="B5" s="1288"/>
      <c r="C5" s="1288"/>
      <c r="D5" s="1288"/>
      <c r="E5" s="1288"/>
      <c r="F5" s="1288"/>
      <c r="G5" s="1288"/>
      <c r="H5" s="1288"/>
      <c r="I5" s="1288"/>
      <c r="J5" s="1288"/>
      <c r="K5" s="1288"/>
    </row>
    <row r="6" spans="1:11" ht="19.5">
      <c r="A6" s="1288" t="s">
        <v>396</v>
      </c>
      <c r="B6" s="1288"/>
      <c r="C6" s="1288"/>
      <c r="D6" s="1288"/>
      <c r="E6" s="1288"/>
      <c r="F6" s="1288"/>
      <c r="G6" s="1288"/>
      <c r="H6" s="1288"/>
      <c r="I6" s="1288"/>
      <c r="J6" s="1288"/>
      <c r="K6" s="1288"/>
    </row>
    <row r="7" spans="1:11" ht="19.5">
      <c r="A7" s="1288" t="s">
        <v>1057</v>
      </c>
      <c r="B7" s="1288"/>
      <c r="C7" s="1288"/>
      <c r="D7" s="1288"/>
      <c r="E7" s="1288"/>
      <c r="F7" s="1288"/>
      <c r="G7" s="1288"/>
      <c r="H7" s="1288"/>
      <c r="I7" s="1288"/>
      <c r="J7" s="1288"/>
      <c r="K7" s="1288"/>
    </row>
    <row r="8" spans="1:11" ht="19.5">
      <c r="A8" s="1288" t="s">
        <v>397</v>
      </c>
      <c r="B8" s="1288"/>
      <c r="C8" s="1288"/>
      <c r="D8" s="1288"/>
      <c r="E8" s="1288"/>
      <c r="F8" s="1288"/>
      <c r="G8" s="1288"/>
      <c r="H8" s="1288"/>
      <c r="I8" s="1288"/>
      <c r="J8" s="1288"/>
      <c r="K8" s="1288"/>
    </row>
    <row r="9" spans="1:11" ht="19.5">
      <c r="A9" s="1288" t="s">
        <v>773</v>
      </c>
      <c r="B9" s="1288"/>
      <c r="C9" s="1288"/>
      <c r="D9" s="1288"/>
      <c r="E9" s="1288"/>
      <c r="F9" s="1288"/>
      <c r="G9" s="1288"/>
      <c r="H9" s="1288"/>
      <c r="I9" s="1288"/>
      <c r="J9" s="1288"/>
      <c r="K9" s="1288"/>
    </row>
    <row r="10" spans="1:11" ht="19.5">
      <c r="A10" s="1293"/>
      <c r="B10" s="1293"/>
      <c r="C10" s="1293"/>
      <c r="D10" s="1293"/>
      <c r="E10" s="1293"/>
      <c r="F10" s="1293"/>
      <c r="G10" s="1293"/>
      <c r="H10" s="1293"/>
      <c r="I10" s="1293"/>
      <c r="J10" s="1293"/>
      <c r="K10" s="1293"/>
    </row>
    <row r="11" spans="1:11" ht="16.5" thickBot="1">
      <c r="A11" s="878"/>
      <c r="B11" s="878"/>
      <c r="C11" s="1291" t="s">
        <v>774</v>
      </c>
      <c r="D11" s="1291"/>
      <c r="E11" s="1291"/>
      <c r="F11" s="878"/>
      <c r="G11" s="1291" t="s">
        <v>1050</v>
      </c>
      <c r="H11" s="1291"/>
      <c r="I11" s="1291"/>
      <c r="J11" s="878"/>
      <c r="K11" s="966" t="s">
        <v>399</v>
      </c>
    </row>
    <row r="12" spans="1:11" ht="15.75">
      <c r="A12" s="879"/>
      <c r="B12" s="878"/>
      <c r="C12" s="590" t="s">
        <v>123</v>
      </c>
      <c r="D12" s="880"/>
      <c r="E12" s="880"/>
      <c r="F12" s="880"/>
      <c r="G12" s="592" t="s">
        <v>124</v>
      </c>
      <c r="H12" s="593"/>
      <c r="I12" s="593"/>
      <c r="J12" s="593"/>
      <c r="K12" s="593"/>
    </row>
    <row r="13" spans="1:11" ht="15">
      <c r="A13" s="878"/>
      <c r="B13" s="878"/>
      <c r="C13" s="590" t="s">
        <v>116</v>
      </c>
      <c r="D13" s="880"/>
      <c r="E13" s="590" t="s">
        <v>400</v>
      </c>
      <c r="F13" s="880"/>
      <c r="G13" s="592" t="s">
        <v>775</v>
      </c>
      <c r="H13" s="880"/>
      <c r="I13" s="590" t="s">
        <v>400</v>
      </c>
      <c r="J13" s="880"/>
      <c r="K13" s="590" t="s">
        <v>400</v>
      </c>
    </row>
    <row r="14" spans="1:11" ht="15">
      <c r="A14" s="878"/>
      <c r="B14" s="590" t="s">
        <v>401</v>
      </c>
      <c r="C14" s="590" t="s">
        <v>776</v>
      </c>
      <c r="D14" s="590" t="s">
        <v>402</v>
      </c>
      <c r="E14" s="590" t="s">
        <v>403</v>
      </c>
      <c r="F14" s="880"/>
      <c r="G14" s="592" t="s">
        <v>404</v>
      </c>
      <c r="H14" s="590" t="s">
        <v>402</v>
      </c>
      <c r="I14" s="590" t="s">
        <v>403</v>
      </c>
      <c r="J14" s="880"/>
      <c r="K14" s="590" t="s">
        <v>403</v>
      </c>
    </row>
    <row r="15" spans="1:11" ht="15">
      <c r="A15" s="590"/>
      <c r="B15" s="590" t="s">
        <v>405</v>
      </c>
      <c r="C15" s="590" t="s">
        <v>406</v>
      </c>
      <c r="D15" s="590" t="s">
        <v>777</v>
      </c>
      <c r="E15" s="590" t="s">
        <v>407</v>
      </c>
      <c r="F15" s="880"/>
      <c r="G15" s="592" t="s">
        <v>406</v>
      </c>
      <c r="H15" s="590" t="s">
        <v>777</v>
      </c>
      <c r="I15" s="590" t="s">
        <v>407</v>
      </c>
      <c r="J15" s="880"/>
      <c r="K15" s="590" t="s">
        <v>407</v>
      </c>
    </row>
    <row r="16" spans="1:11" ht="15">
      <c r="A16" s="587"/>
      <c r="B16" s="587"/>
      <c r="C16" s="587"/>
      <c r="D16" s="587"/>
      <c r="E16" s="587"/>
      <c r="F16" s="587"/>
      <c r="G16" s="231"/>
      <c r="H16" s="587"/>
      <c r="I16" s="587"/>
      <c r="J16" s="587"/>
      <c r="K16" s="587"/>
    </row>
    <row r="17" spans="1:11" ht="15.75" thickBot="1">
      <c r="A17" s="881"/>
      <c r="B17" s="878"/>
      <c r="C17" s="225"/>
      <c r="D17" s="878"/>
      <c r="E17" s="878"/>
      <c r="F17" s="878"/>
      <c r="G17" s="882"/>
      <c r="H17" s="878"/>
      <c r="I17" s="878"/>
      <c r="J17" s="878"/>
      <c r="K17" s="878"/>
    </row>
    <row r="18" spans="1:11" ht="15">
      <c r="A18" s="597" t="s">
        <v>408</v>
      </c>
      <c r="B18" s="883"/>
      <c r="C18" s="226"/>
      <c r="D18" s="227"/>
      <c r="E18" s="228"/>
      <c r="F18" s="883"/>
      <c r="G18" s="228"/>
      <c r="H18" s="229"/>
      <c r="I18" s="228"/>
      <c r="J18" s="883"/>
      <c r="K18" s="228"/>
    </row>
    <row r="19" spans="1:11" ht="15">
      <c r="A19" s="587" t="s">
        <v>778</v>
      </c>
      <c r="B19" s="230">
        <v>350.1</v>
      </c>
      <c r="C19" s="231">
        <v>1.66E-2</v>
      </c>
      <c r="D19" s="232">
        <v>0.66233529999999996</v>
      </c>
      <c r="E19" s="231">
        <f t="shared" ref="E19:E27" si="0">ROUND((C19*D19),6)</f>
        <v>1.0995E-2</v>
      </c>
      <c r="F19" s="878"/>
      <c r="G19" s="231">
        <v>1.6199999999999999E-2</v>
      </c>
      <c r="H19" s="232">
        <v>0.33766470000000004</v>
      </c>
      <c r="I19" s="231">
        <f t="shared" ref="I19:I27" si="1">ROUND((G19*H19),6)</f>
        <v>5.47E-3</v>
      </c>
      <c r="J19" s="878"/>
      <c r="K19" s="225">
        <f>ROUND(E19+I19,4)</f>
        <v>1.6500000000000001E-2</v>
      </c>
    </row>
    <row r="20" spans="1:11" ht="15">
      <c r="A20" s="587" t="s">
        <v>409</v>
      </c>
      <c r="B20" s="230">
        <v>352</v>
      </c>
      <c r="C20" s="231">
        <v>1.77E-2</v>
      </c>
      <c r="D20" s="232">
        <v>0.66233529999999996</v>
      </c>
      <c r="E20" s="231">
        <f t="shared" si="0"/>
        <v>1.1723000000000001E-2</v>
      </c>
      <c r="F20" s="878"/>
      <c r="G20" s="231">
        <v>1.7399999999999999E-2</v>
      </c>
      <c r="H20" s="232">
        <v>0.33766470000000004</v>
      </c>
      <c r="I20" s="231">
        <f t="shared" si="1"/>
        <v>5.875E-3</v>
      </c>
      <c r="J20" s="878"/>
      <c r="K20" s="225">
        <f t="shared" ref="K20:K27" si="2">ROUND(E20+I20,4)</f>
        <v>1.7600000000000001E-2</v>
      </c>
    </row>
    <row r="21" spans="1:11" ht="15">
      <c r="A21" s="587" t="s">
        <v>410</v>
      </c>
      <c r="B21" s="230">
        <v>353</v>
      </c>
      <c r="C21" s="231">
        <v>2.4299999999999999E-2</v>
      </c>
      <c r="D21" s="232">
        <v>0.66233529999999996</v>
      </c>
      <c r="E21" s="231">
        <f t="shared" si="0"/>
        <v>1.6095000000000002E-2</v>
      </c>
      <c r="F21" s="878"/>
      <c r="G21" s="231">
        <v>2.41E-2</v>
      </c>
      <c r="H21" s="232">
        <v>0.33766470000000004</v>
      </c>
      <c r="I21" s="231">
        <f t="shared" si="1"/>
        <v>8.1379999999999994E-3</v>
      </c>
      <c r="J21" s="878"/>
      <c r="K21" s="225">
        <f t="shared" si="2"/>
        <v>2.4199999999999999E-2</v>
      </c>
    </row>
    <row r="22" spans="1:11" ht="15">
      <c r="A22" s="587" t="s">
        <v>411</v>
      </c>
      <c r="B22" s="230">
        <v>354</v>
      </c>
      <c r="C22" s="231">
        <v>2.5700000000000001E-2</v>
      </c>
      <c r="D22" s="232">
        <v>0.66233529999999996</v>
      </c>
      <c r="E22" s="231">
        <f t="shared" si="0"/>
        <v>1.7021999999999999E-2</v>
      </c>
      <c r="F22" s="878"/>
      <c r="G22" s="231">
        <v>2.4500000000000001E-2</v>
      </c>
      <c r="H22" s="232">
        <v>0.33766470000000004</v>
      </c>
      <c r="I22" s="231">
        <f t="shared" si="1"/>
        <v>8.2730000000000008E-3</v>
      </c>
      <c r="J22" s="878"/>
      <c r="K22" s="225">
        <f t="shared" si="2"/>
        <v>2.53E-2</v>
      </c>
    </row>
    <row r="23" spans="1:11" ht="15">
      <c r="A23" s="587" t="s">
        <v>412</v>
      </c>
      <c r="B23" s="230">
        <v>355</v>
      </c>
      <c r="C23" s="231">
        <v>3.1899999999999998E-2</v>
      </c>
      <c r="D23" s="232">
        <v>0.66233529999999996</v>
      </c>
      <c r="E23" s="231">
        <f t="shared" si="0"/>
        <v>2.1128000000000001E-2</v>
      </c>
      <c r="F23" s="878"/>
      <c r="G23" s="231">
        <v>3.1699999999999999E-2</v>
      </c>
      <c r="H23" s="232">
        <v>0.33766470000000004</v>
      </c>
      <c r="I23" s="231">
        <f t="shared" si="1"/>
        <v>1.0704E-2</v>
      </c>
      <c r="J23" s="878"/>
      <c r="K23" s="225">
        <f t="shared" si="2"/>
        <v>3.1800000000000002E-2</v>
      </c>
    </row>
    <row r="24" spans="1:11" ht="15">
      <c r="A24" s="587" t="s">
        <v>779</v>
      </c>
      <c r="B24" s="230">
        <v>356</v>
      </c>
      <c r="C24" s="231">
        <v>2.35E-2</v>
      </c>
      <c r="D24" s="232">
        <v>0.66233529999999996</v>
      </c>
      <c r="E24" s="231">
        <f t="shared" si="0"/>
        <v>1.5565000000000001E-2</v>
      </c>
      <c r="F24" s="878"/>
      <c r="G24" s="231">
        <v>2.2800000000000001E-2</v>
      </c>
      <c r="H24" s="232">
        <v>0.33766470000000004</v>
      </c>
      <c r="I24" s="231">
        <f t="shared" si="1"/>
        <v>7.6990000000000001E-3</v>
      </c>
      <c r="J24" s="878"/>
      <c r="K24" s="225">
        <f t="shared" si="2"/>
        <v>2.3300000000000001E-2</v>
      </c>
    </row>
    <row r="25" spans="1:11" ht="15">
      <c r="A25" s="587" t="s">
        <v>413</v>
      </c>
      <c r="B25" s="230">
        <v>357</v>
      </c>
      <c r="C25" s="231">
        <v>2.3E-2</v>
      </c>
      <c r="D25" s="232">
        <v>0.66233529999999996</v>
      </c>
      <c r="E25" s="231">
        <f t="shared" si="0"/>
        <v>1.5233999999999999E-2</v>
      </c>
      <c r="F25" s="878"/>
      <c r="G25" s="231">
        <v>2.2100000000000002E-2</v>
      </c>
      <c r="H25" s="232">
        <v>0.33766470000000004</v>
      </c>
      <c r="I25" s="231">
        <f t="shared" si="1"/>
        <v>7.4619999999999999E-3</v>
      </c>
      <c r="J25" s="878"/>
      <c r="K25" s="225">
        <f t="shared" si="2"/>
        <v>2.2700000000000001E-2</v>
      </c>
    </row>
    <row r="26" spans="1:11" ht="15">
      <c r="A26" s="587" t="s">
        <v>414</v>
      </c>
      <c r="B26" s="230">
        <v>358</v>
      </c>
      <c r="C26" s="231">
        <v>1.9300000000000001E-2</v>
      </c>
      <c r="D26" s="232">
        <v>0.66233529999999996</v>
      </c>
      <c r="E26" s="231">
        <f t="shared" si="0"/>
        <v>1.2782999999999999E-2</v>
      </c>
      <c r="F26" s="878"/>
      <c r="G26" s="231">
        <v>1.9E-2</v>
      </c>
      <c r="H26" s="232">
        <v>0.33766470000000004</v>
      </c>
      <c r="I26" s="231">
        <f t="shared" si="1"/>
        <v>6.4159999999999998E-3</v>
      </c>
      <c r="J26" s="878"/>
      <c r="K26" s="225">
        <f t="shared" si="2"/>
        <v>1.9199999999999998E-2</v>
      </c>
    </row>
    <row r="27" spans="1:11" ht="15">
      <c r="A27" s="587" t="s">
        <v>780</v>
      </c>
      <c r="B27" s="230">
        <v>359</v>
      </c>
      <c r="C27" s="231">
        <v>1.61E-2</v>
      </c>
      <c r="D27" s="232">
        <v>0.66233529999999996</v>
      </c>
      <c r="E27" s="231">
        <f t="shared" si="0"/>
        <v>1.0664E-2</v>
      </c>
      <c r="F27" s="878"/>
      <c r="G27" s="231">
        <v>1.5900000000000001E-2</v>
      </c>
      <c r="H27" s="232">
        <v>0.33766470000000004</v>
      </c>
      <c r="I27" s="231">
        <f t="shared" si="1"/>
        <v>5.3689999999999996E-3</v>
      </c>
      <c r="J27" s="878"/>
      <c r="K27" s="225">
        <f t="shared" si="2"/>
        <v>1.6E-2</v>
      </c>
    </row>
    <row r="28" spans="1:11" ht="15">
      <c r="A28" s="587"/>
      <c r="B28" s="587"/>
      <c r="C28" s="587"/>
      <c r="D28" s="587"/>
      <c r="E28" s="587"/>
      <c r="F28" s="587"/>
      <c r="G28" s="587"/>
      <c r="H28" s="587"/>
      <c r="I28" s="587"/>
      <c r="J28" s="587"/>
      <c r="K28" s="587"/>
    </row>
    <row r="29" spans="1:11" ht="15.75" thickBot="1">
      <c r="A29" s="587"/>
      <c r="B29" s="587"/>
      <c r="C29" s="587"/>
      <c r="D29" s="587"/>
      <c r="E29" s="587"/>
      <c r="F29" s="587"/>
      <c r="G29" s="587"/>
      <c r="H29" s="587"/>
      <c r="I29" s="587"/>
      <c r="J29" s="587"/>
      <c r="K29" s="587"/>
    </row>
    <row r="30" spans="1:11" ht="15">
      <c r="A30" s="967" t="s">
        <v>954</v>
      </c>
      <c r="B30" s="968"/>
      <c r="C30" s="1024"/>
      <c r="D30" s="969"/>
      <c r="E30" s="970"/>
      <c r="F30" s="968"/>
      <c r="G30" s="971"/>
      <c r="H30" s="969"/>
      <c r="I30" s="970"/>
      <c r="J30" s="968"/>
      <c r="K30" s="587"/>
    </row>
    <row r="31" spans="1:11" ht="15">
      <c r="A31" s="1025"/>
      <c r="B31" s="230">
        <v>390</v>
      </c>
      <c r="C31" s="231">
        <v>2.0799999999999999E-2</v>
      </c>
      <c r="D31" s="232">
        <v>0.68186831634107659</v>
      </c>
      <c r="E31" s="231">
        <f t="shared" ref="E31:E39" si="3">ROUND((C31*D31),6)</f>
        <v>1.4182999999999999E-2</v>
      </c>
      <c r="F31" s="878"/>
      <c r="G31" s="231">
        <v>2.0799999999999999E-2</v>
      </c>
      <c r="H31" s="232">
        <v>0.31813168365892341</v>
      </c>
      <c r="I31" s="231">
        <f t="shared" ref="I31:I39" si="4">ROUND((G31*H31),6)</f>
        <v>6.6169999999999996E-3</v>
      </c>
      <c r="J31" s="1026"/>
      <c r="K31" s="225">
        <f t="shared" ref="K31:K39" si="5">ROUND(E31+I31,4)</f>
        <v>2.0799999999999999E-2</v>
      </c>
    </row>
    <row r="32" spans="1:11" ht="15">
      <c r="A32" s="1025"/>
      <c r="B32" s="230">
        <v>391</v>
      </c>
      <c r="C32" s="231">
        <v>4.7899999999999998E-2</v>
      </c>
      <c r="D32" s="232">
        <v>0.68186831634107659</v>
      </c>
      <c r="E32" s="231">
        <f t="shared" si="3"/>
        <v>3.2661000000000003E-2</v>
      </c>
      <c r="F32" s="878"/>
      <c r="G32" s="231">
        <v>4.8399999999999999E-2</v>
      </c>
      <c r="H32" s="232">
        <v>0.31813168365892341</v>
      </c>
      <c r="I32" s="231">
        <f t="shared" si="4"/>
        <v>1.5398E-2</v>
      </c>
      <c r="J32" s="1026"/>
      <c r="K32" s="225">
        <f t="shared" si="5"/>
        <v>4.8099999999999997E-2</v>
      </c>
    </row>
    <row r="33" spans="1:11" ht="15">
      <c r="A33" s="1027" t="s">
        <v>1051</v>
      </c>
      <c r="B33" s="230">
        <v>392</v>
      </c>
      <c r="C33" s="231">
        <v>4.6399999999999997E-2</v>
      </c>
      <c r="D33" s="232">
        <v>0.68186831634107659</v>
      </c>
      <c r="E33" s="231">
        <f t="shared" si="3"/>
        <v>3.1639E-2</v>
      </c>
      <c r="F33" s="878"/>
      <c r="G33" s="231">
        <v>4.6800000000000001E-2</v>
      </c>
      <c r="H33" s="232">
        <v>0.31813168365892341</v>
      </c>
      <c r="I33" s="231">
        <f t="shared" si="4"/>
        <v>1.4888999999999999E-2</v>
      </c>
      <c r="J33" s="1026"/>
      <c r="K33" s="225">
        <f t="shared" si="5"/>
        <v>4.65E-2</v>
      </c>
    </row>
    <row r="34" spans="1:11" ht="15">
      <c r="A34" s="1025"/>
      <c r="B34" s="230">
        <v>393</v>
      </c>
      <c r="C34" s="231">
        <v>7.3499999999999996E-2</v>
      </c>
      <c r="D34" s="232">
        <v>0.68186831634107659</v>
      </c>
      <c r="E34" s="231">
        <f t="shared" si="3"/>
        <v>5.0117000000000002E-2</v>
      </c>
      <c r="F34" s="878"/>
      <c r="G34" s="231">
        <v>7.3800000000000004E-2</v>
      </c>
      <c r="H34" s="232">
        <v>0.31813168365892341</v>
      </c>
      <c r="I34" s="231">
        <f t="shared" si="4"/>
        <v>2.3477999999999999E-2</v>
      </c>
      <c r="J34" s="1026"/>
      <c r="K34" s="225">
        <f t="shared" si="5"/>
        <v>7.3599999999999999E-2</v>
      </c>
    </row>
    <row r="35" spans="1:11" ht="15">
      <c r="A35" s="1025"/>
      <c r="B35" s="230">
        <v>394</v>
      </c>
      <c r="C35" s="231">
        <v>6.9900000000000004E-2</v>
      </c>
      <c r="D35" s="232">
        <v>0.68186831634107659</v>
      </c>
      <c r="E35" s="231">
        <f t="shared" si="3"/>
        <v>4.7662999999999997E-2</v>
      </c>
      <c r="F35" s="878"/>
      <c r="G35" s="231">
        <v>7.0699999999999999E-2</v>
      </c>
      <c r="H35" s="232">
        <v>0.31813168365892341</v>
      </c>
      <c r="I35" s="231">
        <f t="shared" si="4"/>
        <v>2.2492000000000002E-2</v>
      </c>
      <c r="J35" s="1026"/>
      <c r="K35" s="225">
        <f t="shared" si="5"/>
        <v>7.0199999999999999E-2</v>
      </c>
    </row>
    <row r="36" spans="1:11" ht="15">
      <c r="A36" s="1025"/>
      <c r="B36" s="230">
        <v>395</v>
      </c>
      <c r="C36" s="231">
        <v>5.4100000000000002E-2</v>
      </c>
      <c r="D36" s="232">
        <v>0.68186831634107659</v>
      </c>
      <c r="E36" s="231">
        <f t="shared" si="3"/>
        <v>3.6888999999999998E-2</v>
      </c>
      <c r="F36" s="878"/>
      <c r="G36" s="231">
        <v>5.4600000000000003E-2</v>
      </c>
      <c r="H36" s="232">
        <v>0.31813168365892341</v>
      </c>
      <c r="I36" s="231">
        <f t="shared" si="4"/>
        <v>1.737E-2</v>
      </c>
      <c r="J36" s="1026"/>
      <c r="K36" s="225">
        <f t="shared" si="5"/>
        <v>5.4300000000000001E-2</v>
      </c>
    </row>
    <row r="37" spans="1:11" ht="15">
      <c r="A37" s="1025"/>
      <c r="B37" s="230">
        <v>396</v>
      </c>
      <c r="C37" s="231">
        <v>4.8099999999999997E-2</v>
      </c>
      <c r="D37" s="232">
        <v>0.68186831634107659</v>
      </c>
      <c r="E37" s="231">
        <f t="shared" si="3"/>
        <v>3.2798000000000001E-2</v>
      </c>
      <c r="F37" s="878"/>
      <c r="G37" s="231">
        <v>4.9000000000000002E-2</v>
      </c>
      <c r="H37" s="232">
        <v>0.31813168365892341</v>
      </c>
      <c r="I37" s="231">
        <f t="shared" si="4"/>
        <v>1.5587999999999999E-2</v>
      </c>
      <c r="J37" s="1026"/>
      <c r="K37" s="225">
        <f t="shared" si="5"/>
        <v>4.8399999999999999E-2</v>
      </c>
    </row>
    <row r="38" spans="1:11" ht="15">
      <c r="A38" s="1025"/>
      <c r="B38" s="230">
        <v>397</v>
      </c>
      <c r="C38" s="231">
        <v>3.9100000000000003E-2</v>
      </c>
      <c r="D38" s="232">
        <v>0.68186831634107659</v>
      </c>
      <c r="E38" s="231">
        <f t="shared" si="3"/>
        <v>2.6661000000000001E-2</v>
      </c>
      <c r="F38" s="878"/>
      <c r="G38" s="231">
        <v>3.9300000000000002E-2</v>
      </c>
      <c r="H38" s="232">
        <v>0.31813168365892341</v>
      </c>
      <c r="I38" s="231">
        <f t="shared" si="4"/>
        <v>1.2503E-2</v>
      </c>
      <c r="J38" s="1026"/>
      <c r="K38" s="225">
        <f t="shared" si="5"/>
        <v>3.9199999999999999E-2</v>
      </c>
    </row>
    <row r="39" spans="1:11" ht="15">
      <c r="A39" s="1025"/>
      <c r="B39" s="230">
        <v>398</v>
      </c>
      <c r="C39" s="231">
        <v>3.32E-2</v>
      </c>
      <c r="D39" s="232">
        <v>0.68186831634107659</v>
      </c>
      <c r="E39" s="231">
        <f t="shared" si="3"/>
        <v>2.2637999999999998E-2</v>
      </c>
      <c r="F39" s="878"/>
      <c r="G39" s="231">
        <v>3.3500000000000002E-2</v>
      </c>
      <c r="H39" s="232">
        <v>0.31813168365892341</v>
      </c>
      <c r="I39" s="231">
        <f t="shared" si="4"/>
        <v>1.0657E-2</v>
      </c>
      <c r="J39" s="1026"/>
      <c r="K39" s="225">
        <f t="shared" si="5"/>
        <v>3.3300000000000003E-2</v>
      </c>
    </row>
    <row r="40" spans="1:11" ht="15.75" thickBot="1">
      <c r="A40" s="972"/>
      <c r="B40" s="973"/>
      <c r="C40" s="974"/>
      <c r="D40" s="975"/>
      <c r="E40" s="976"/>
      <c r="F40" s="973"/>
      <c r="G40" s="976"/>
      <c r="H40" s="975"/>
      <c r="I40" s="976"/>
      <c r="J40" s="973"/>
      <c r="K40" s="587"/>
    </row>
    <row r="41" spans="1:11" ht="15">
      <c r="A41" s="587"/>
      <c r="B41" s="587"/>
      <c r="C41" s="587"/>
      <c r="D41" s="587"/>
      <c r="E41" s="587"/>
      <c r="F41" s="587"/>
      <c r="G41" s="587"/>
      <c r="H41" s="587"/>
      <c r="I41" s="587"/>
      <c r="J41" s="587"/>
      <c r="K41" s="587"/>
    </row>
    <row r="42" spans="1:11" ht="15">
      <c r="A42" s="587"/>
      <c r="B42" s="587"/>
      <c r="C42" s="587"/>
      <c r="D42" s="587"/>
      <c r="E42" s="587"/>
      <c r="F42" s="587"/>
      <c r="G42" s="587"/>
      <c r="H42" s="587"/>
      <c r="I42" s="587"/>
      <c r="J42" s="587"/>
      <c r="K42" s="587"/>
    </row>
    <row r="43" spans="1:11" ht="15">
      <c r="A43" s="587"/>
      <c r="B43" s="878"/>
      <c r="C43" s="225"/>
      <c r="D43" s="587"/>
      <c r="E43" s="587"/>
      <c r="F43" s="587"/>
      <c r="G43" s="231"/>
      <c r="H43" s="587"/>
      <c r="I43" s="587"/>
      <c r="J43" s="587"/>
      <c r="K43" s="587"/>
    </row>
    <row r="44" spans="1:11" ht="15.75">
      <c r="A44" s="879" t="s">
        <v>1058</v>
      </c>
      <c r="B44" s="884"/>
      <c r="C44" s="233"/>
      <c r="D44" s="884"/>
      <c r="E44" s="587"/>
      <c r="F44" s="884"/>
      <c r="G44" s="587"/>
      <c r="H44" s="878"/>
      <c r="I44" s="587"/>
      <c r="J44" s="587"/>
      <c r="K44" s="587"/>
    </row>
    <row r="45" spans="1:11" ht="15.75">
      <c r="A45" s="879" t="s">
        <v>1059</v>
      </c>
      <c r="B45" s="884"/>
      <c r="C45" s="233"/>
      <c r="D45" s="884"/>
      <c r="E45" s="884"/>
      <c r="F45" s="884"/>
      <c r="G45" s="587"/>
      <c r="H45" s="878"/>
      <c r="I45" s="587"/>
      <c r="J45" s="587"/>
      <c r="K45" s="587"/>
    </row>
    <row r="46" spans="1:11" ht="15.75">
      <c r="A46" s="879" t="s">
        <v>1060</v>
      </c>
      <c r="B46" s="884"/>
      <c r="C46" s="233"/>
      <c r="D46" s="885"/>
      <c r="E46" s="885"/>
      <c r="F46" s="885"/>
      <c r="G46" s="587"/>
      <c r="H46" s="587"/>
      <c r="I46" s="587"/>
      <c r="J46" s="587"/>
      <c r="K46" s="587"/>
    </row>
    <row r="47" spans="1:11" ht="15" customHeight="1">
      <c r="A47" s="1294" t="s">
        <v>781</v>
      </c>
      <c r="B47" s="1295"/>
      <c r="C47" s="1295"/>
      <c r="D47" s="1295"/>
      <c r="E47" s="1295"/>
      <c r="F47" s="1295"/>
      <c r="G47" s="1295"/>
      <c r="H47" s="1295"/>
      <c r="I47" s="1295"/>
      <c r="J47" s="1295"/>
      <c r="K47" s="587"/>
    </row>
    <row r="48" spans="1:11" ht="15">
      <c r="A48" s="1295"/>
      <c r="B48" s="1295"/>
      <c r="C48" s="1295"/>
      <c r="D48" s="1295"/>
      <c r="E48" s="1295"/>
      <c r="F48" s="1295"/>
      <c r="G48" s="1295"/>
      <c r="H48" s="1295"/>
      <c r="I48" s="1295"/>
      <c r="J48" s="1295"/>
      <c r="K48" s="587"/>
    </row>
    <row r="49" spans="1:11" ht="15">
      <c r="A49" s="1295"/>
      <c r="B49" s="1295"/>
      <c r="C49" s="1295"/>
      <c r="D49" s="1295"/>
      <c r="E49" s="1295"/>
      <c r="F49" s="1295"/>
      <c r="G49" s="1295"/>
      <c r="H49" s="1295"/>
      <c r="I49" s="1295"/>
      <c r="J49" s="1295"/>
      <c r="K49" s="587"/>
    </row>
    <row r="50" spans="1:11" ht="15.75">
      <c r="A50" s="587"/>
      <c r="B50" s="884"/>
      <c r="C50" s="233"/>
      <c r="D50" s="885"/>
      <c r="E50" s="885"/>
      <c r="F50" s="885"/>
      <c r="G50" s="231"/>
      <c r="H50" s="587"/>
      <c r="I50" s="587"/>
      <c r="J50" s="587"/>
      <c r="K50" s="587"/>
    </row>
    <row r="51" spans="1:11" ht="15.75">
      <c r="A51" s="886" t="s">
        <v>415</v>
      </c>
      <c r="B51" s="878"/>
      <c r="C51" s="225"/>
      <c r="D51" s="587"/>
      <c r="E51" s="587"/>
      <c r="F51" s="587"/>
      <c r="G51" s="231"/>
      <c r="H51" s="587"/>
      <c r="I51" s="587"/>
      <c r="J51" s="587"/>
      <c r="K51" s="587"/>
    </row>
    <row r="52" spans="1:11" ht="15">
      <c r="A52" s="1028" t="s">
        <v>29</v>
      </c>
      <c r="B52" s="1029"/>
      <c r="C52" s="1029"/>
      <c r="D52" s="1030"/>
      <c r="E52" s="587"/>
      <c r="F52" s="587"/>
      <c r="G52" s="231"/>
      <c r="H52" s="587"/>
      <c r="I52" s="587"/>
      <c r="J52" s="587"/>
      <c r="K52" s="587"/>
    </row>
    <row r="53" spans="1:11" ht="15">
      <c r="A53" s="1296" t="s">
        <v>782</v>
      </c>
      <c r="B53" s="1296"/>
      <c r="C53" s="1296"/>
      <c r="D53" s="1296"/>
      <c r="E53" s="1296"/>
      <c r="F53" s="1296"/>
      <c r="G53" s="1296"/>
      <c r="H53" s="1296"/>
      <c r="I53" s="1296"/>
      <c r="J53" s="1296"/>
      <c r="K53" s="587"/>
    </row>
    <row r="54" spans="1:11" ht="15">
      <c r="A54" s="1296"/>
      <c r="B54" s="1296"/>
      <c r="C54" s="1296"/>
      <c r="D54" s="1296"/>
      <c r="E54" s="1296"/>
      <c r="F54" s="1296"/>
      <c r="G54" s="1296"/>
      <c r="H54" s="1296"/>
      <c r="I54" s="1296"/>
      <c r="J54" s="1296"/>
      <c r="K54" s="587"/>
    </row>
    <row r="55" spans="1:11" ht="15">
      <c r="A55" s="1292" t="s">
        <v>826</v>
      </c>
      <c r="B55" s="1292"/>
      <c r="C55" s="1292"/>
      <c r="D55" s="1292"/>
      <c r="E55" s="1292"/>
      <c r="F55" s="1292"/>
      <c r="G55" s="1292"/>
      <c r="H55" s="1292"/>
      <c r="I55" s="1292"/>
      <c r="J55" s="1292"/>
      <c r="K55" s="587"/>
    </row>
    <row r="56" spans="1:11" ht="15">
      <c r="A56" s="1292"/>
      <c r="B56" s="1292"/>
      <c r="C56" s="1292"/>
      <c r="D56" s="1292"/>
      <c r="E56" s="1292"/>
      <c r="F56" s="1292"/>
      <c r="G56" s="1292"/>
      <c r="H56" s="1292"/>
      <c r="I56" s="1292"/>
      <c r="J56" s="1292"/>
      <c r="K56" s="587"/>
    </row>
    <row r="57" spans="1:11" ht="15">
      <c r="A57" s="587"/>
      <c r="B57" s="587"/>
      <c r="C57" s="587"/>
      <c r="D57" s="587"/>
      <c r="E57" s="587"/>
      <c r="F57" s="587"/>
      <c r="G57" s="231"/>
      <c r="H57" s="587"/>
      <c r="I57" s="587"/>
      <c r="J57" s="587"/>
      <c r="K57" s="587"/>
    </row>
    <row r="58" spans="1:11" ht="15">
      <c r="A58" s="587"/>
      <c r="B58" s="587"/>
      <c r="C58" s="587"/>
      <c r="D58" s="587"/>
      <c r="E58" s="587"/>
      <c r="F58" s="587"/>
      <c r="G58" s="231"/>
      <c r="H58" s="587"/>
      <c r="I58" s="587"/>
      <c r="J58" s="587"/>
      <c r="K58" s="587"/>
    </row>
    <row r="59" spans="1:11" ht="15">
      <c r="A59" s="587"/>
      <c r="B59" s="587"/>
      <c r="C59" s="587"/>
      <c r="D59" s="587"/>
      <c r="E59" s="587"/>
      <c r="F59" s="587"/>
      <c r="G59" s="231"/>
      <c r="H59" s="587"/>
      <c r="I59" s="587"/>
      <c r="J59" s="587"/>
      <c r="K59" s="587"/>
    </row>
  </sheetData>
  <mergeCells count="13">
    <mergeCell ref="A55:J56"/>
    <mergeCell ref="A9:K9"/>
    <mergeCell ref="A10:K10"/>
    <mergeCell ref="C11:E11"/>
    <mergeCell ref="G11:I11"/>
    <mergeCell ref="A47:J49"/>
    <mergeCell ref="A53:J54"/>
    <mergeCell ref="A8:K8"/>
    <mergeCell ref="A3:K3"/>
    <mergeCell ref="A4:K4"/>
    <mergeCell ref="A5:K5"/>
    <mergeCell ref="A6:K6"/>
    <mergeCell ref="A7:K7"/>
  </mergeCells>
  <conditionalFormatting sqref="A3 A10 A51:J52 A53">
    <cfRule type="cellIs" dxfId="5" priority="2" stopIfTrue="1" operator="lessThan">
      <formula>0</formula>
    </cfRule>
  </conditionalFormatting>
  <conditionalFormatting sqref="A4:K9">
    <cfRule type="cellIs" dxfId="4" priority="1" stopIfTrue="1" operator="lessThan">
      <formula>0</formula>
    </cfRule>
  </conditionalFormatting>
  <pageMargins left="0.7" right="0.7" top="0.75" bottom="0.75" header="0.3" footer="0.3"/>
  <pageSetup scale="4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G49"/>
  <sheetViews>
    <sheetView tabSelected="1" view="pageBreakPreview" zoomScale="60" zoomScaleNormal="70" workbookViewId="0">
      <selection activeCell="D9" sqref="D9"/>
    </sheetView>
  </sheetViews>
  <sheetFormatPr defaultColWidth="9.140625" defaultRowHeight="12.75"/>
  <cols>
    <col min="1" max="1" width="33.5703125" style="877" customWidth="1"/>
    <col min="2" max="2" width="17.140625" style="877" customWidth="1"/>
    <col min="3" max="3" width="23.42578125" style="877" customWidth="1"/>
    <col min="4" max="4" width="9.140625" style="877"/>
    <col min="5" max="5" width="21.85546875" style="877" customWidth="1"/>
    <col min="6" max="16384" width="9.140625" style="877"/>
  </cols>
  <sheetData>
    <row r="1" spans="1:7" s="587" customFormat="1" ht="15.75">
      <c r="A1" s="693" t="s">
        <v>116</v>
      </c>
      <c r="G1" s="231"/>
    </row>
    <row r="2" spans="1:7" s="587" customFormat="1" ht="15.75">
      <c r="A2" s="693" t="s">
        <v>116</v>
      </c>
      <c r="G2" s="231"/>
    </row>
    <row r="3" spans="1:7" ht="19.5">
      <c r="A3" s="587"/>
      <c r="B3" s="1298" t="s">
        <v>393</v>
      </c>
      <c r="C3" s="1298"/>
      <c r="D3" s="1298"/>
      <c r="E3" s="1298"/>
    </row>
    <row r="4" spans="1:7" ht="19.5">
      <c r="A4" s="587"/>
      <c r="B4" s="1298" t="s">
        <v>783</v>
      </c>
      <c r="C4" s="1298"/>
      <c r="D4" s="1298"/>
      <c r="E4" s="1298"/>
    </row>
    <row r="5" spans="1:7" ht="19.5">
      <c r="A5" s="587"/>
      <c r="B5" s="1298" t="s">
        <v>784</v>
      </c>
      <c r="C5" s="1298"/>
      <c r="D5" s="1298"/>
      <c r="E5" s="1298"/>
    </row>
    <row r="6" spans="1:7" ht="19.5">
      <c r="A6" s="587"/>
      <c r="B6" s="1298" t="s">
        <v>785</v>
      </c>
      <c r="C6" s="1298"/>
      <c r="D6" s="1298"/>
      <c r="E6" s="1298"/>
    </row>
    <row r="7" spans="1:7" ht="19.5">
      <c r="A7" s="587"/>
      <c r="B7" s="1298" t="s">
        <v>786</v>
      </c>
      <c r="C7" s="1298"/>
      <c r="D7" s="1298"/>
      <c r="E7" s="1298"/>
    </row>
    <row r="8" spans="1:7" ht="19.5">
      <c r="A8" s="587"/>
      <c r="B8" s="1298" t="s">
        <v>787</v>
      </c>
      <c r="C8" s="1298"/>
      <c r="D8" s="1298"/>
      <c r="E8" s="1298"/>
    </row>
    <row r="9" spans="1:7" ht="15">
      <c r="A9" s="587"/>
      <c r="B9" s="878"/>
      <c r="C9" s="878"/>
      <c r="D9" s="590" t="s">
        <v>116</v>
      </c>
      <c r="E9" s="587"/>
    </row>
    <row r="10" spans="1:7" ht="15.75">
      <c r="A10" s="878"/>
      <c r="B10" s="887" t="s">
        <v>401</v>
      </c>
      <c r="C10" s="587"/>
      <c r="D10" s="587"/>
      <c r="E10" s="888"/>
    </row>
    <row r="11" spans="1:7" ht="15.75">
      <c r="A11" s="590"/>
      <c r="B11" s="887" t="s">
        <v>405</v>
      </c>
      <c r="C11" s="887" t="s">
        <v>406</v>
      </c>
      <c r="D11" s="887"/>
      <c r="E11" s="587"/>
    </row>
    <row r="12" spans="1:7" ht="15.75" thickBot="1">
      <c r="A12" s="881"/>
      <c r="B12" s="878"/>
      <c r="C12" s="889" t="s">
        <v>501</v>
      </c>
      <c r="D12" s="587"/>
      <c r="E12" s="587"/>
    </row>
    <row r="13" spans="1:7" ht="15">
      <c r="A13" s="597" t="s">
        <v>408</v>
      </c>
      <c r="B13" s="883"/>
      <c r="C13" s="226"/>
      <c r="D13" s="587"/>
      <c r="E13" s="587"/>
    </row>
    <row r="14" spans="1:7" ht="15">
      <c r="A14" s="587"/>
      <c r="B14" s="890"/>
      <c r="C14" s="225"/>
      <c r="D14" s="891"/>
      <c r="E14" s="587"/>
    </row>
    <row r="15" spans="1:7" ht="15">
      <c r="A15" s="587" t="s">
        <v>409</v>
      </c>
      <c r="B15" s="230">
        <v>352</v>
      </c>
      <c r="C15" s="225">
        <v>1.04E-2</v>
      </c>
      <c r="D15" s="891"/>
      <c r="E15" s="587"/>
    </row>
    <row r="16" spans="1:7" ht="15">
      <c r="A16" s="587" t="s">
        <v>410</v>
      </c>
      <c r="B16" s="230">
        <v>353</v>
      </c>
      <c r="C16" s="225">
        <v>1.49E-2</v>
      </c>
      <c r="D16" s="891"/>
      <c r="E16" s="587"/>
    </row>
    <row r="17" spans="1:5" ht="15">
      <c r="A17" s="587" t="s">
        <v>411</v>
      </c>
      <c r="B17" s="230">
        <v>354</v>
      </c>
      <c r="C17" s="225">
        <v>1.1999999999999999E-3</v>
      </c>
      <c r="D17" s="891"/>
      <c r="E17" s="587"/>
    </row>
    <row r="18" spans="1:5" ht="15">
      <c r="A18" s="587" t="s">
        <v>412</v>
      </c>
      <c r="B18" s="230">
        <v>355</v>
      </c>
      <c r="C18" s="225">
        <v>2.1399999999999999E-2</v>
      </c>
      <c r="D18" s="891"/>
      <c r="E18" s="587"/>
    </row>
    <row r="19" spans="1:5" ht="15">
      <c r="A19" s="587" t="s">
        <v>779</v>
      </c>
      <c r="B19" s="230">
        <v>356</v>
      </c>
      <c r="C19" s="225">
        <v>7.7000000000000002E-3</v>
      </c>
      <c r="D19" s="891"/>
      <c r="E19" s="587"/>
    </row>
    <row r="20" spans="1:5" ht="15">
      <c r="A20" s="587" t="s">
        <v>413</v>
      </c>
      <c r="B20" s="230">
        <v>357</v>
      </c>
      <c r="C20" s="892" t="s">
        <v>621</v>
      </c>
      <c r="D20" s="587"/>
      <c r="E20" s="587"/>
    </row>
    <row r="21" spans="1:5" ht="15">
      <c r="A21" s="587" t="s">
        <v>414</v>
      </c>
      <c r="B21" s="230">
        <v>358</v>
      </c>
      <c r="C21" s="892" t="s">
        <v>621</v>
      </c>
      <c r="D21" s="891"/>
      <c r="E21" s="587"/>
    </row>
    <row r="22" spans="1:5" ht="15.75">
      <c r="A22" s="879" t="s">
        <v>788</v>
      </c>
      <c r="B22" s="893"/>
      <c r="C22" s="894">
        <v>1.46E-2</v>
      </c>
      <c r="D22" s="891"/>
      <c r="E22" s="587"/>
    </row>
    <row r="23" spans="1:5" ht="15.75">
      <c r="A23" s="879"/>
      <c r="B23" s="893"/>
      <c r="C23" s="894"/>
      <c r="D23" s="891"/>
      <c r="E23" s="587"/>
    </row>
    <row r="24" spans="1:5" customFormat="1" ht="15.75">
      <c r="A24" s="494" t="s">
        <v>810</v>
      </c>
      <c r="C24" s="1"/>
    </row>
    <row r="25" spans="1:5" customFormat="1">
      <c r="C25" s="1"/>
    </row>
    <row r="26" spans="1:5" customFormat="1" ht="15">
      <c r="A26" s="898" t="s">
        <v>811</v>
      </c>
      <c r="B26" s="902">
        <v>390</v>
      </c>
      <c r="C26" s="901">
        <v>1.7100000000000001E-2</v>
      </c>
    </row>
    <row r="27" spans="1:5" customFormat="1" ht="15">
      <c r="A27" s="898" t="s">
        <v>812</v>
      </c>
      <c r="B27" s="902">
        <v>391</v>
      </c>
      <c r="C27" s="901">
        <v>2.8199999999999999E-2</v>
      </c>
    </row>
    <row r="28" spans="1:5" customFormat="1" ht="15">
      <c r="A28" s="898" t="s">
        <v>813</v>
      </c>
      <c r="B28" s="902">
        <v>393</v>
      </c>
      <c r="C28" s="901">
        <v>2.2200000000000001E-2</v>
      </c>
    </row>
    <row r="29" spans="1:5" customFormat="1" ht="15">
      <c r="A29" s="898" t="s">
        <v>814</v>
      </c>
      <c r="B29" s="902">
        <v>394</v>
      </c>
      <c r="C29" s="901">
        <v>3.1199999999999999E-2</v>
      </c>
    </row>
    <row r="30" spans="1:5" customFormat="1" ht="15">
      <c r="A30" s="898" t="s">
        <v>815</v>
      </c>
      <c r="B30" s="902">
        <v>395</v>
      </c>
      <c r="C30" s="901">
        <v>3.1699999999999999E-2</v>
      </c>
    </row>
    <row r="31" spans="1:5" customFormat="1" ht="15">
      <c r="A31" s="898" t="s">
        <v>816</v>
      </c>
      <c r="B31" s="902">
        <v>397</v>
      </c>
      <c r="C31" s="901">
        <v>3.32E-2</v>
      </c>
    </row>
    <row r="32" spans="1:5" customFormat="1" ht="15">
      <c r="A32" s="898" t="s">
        <v>817</v>
      </c>
      <c r="B32" s="902">
        <v>398</v>
      </c>
      <c r="C32" s="901">
        <v>4.9200000000000001E-2</v>
      </c>
    </row>
    <row r="33" spans="1:5" customFormat="1" ht="15">
      <c r="A33" s="30"/>
      <c r="B33" s="898"/>
      <c r="C33" s="901"/>
    </row>
    <row r="34" spans="1:5" customFormat="1" ht="15.75">
      <c r="A34" s="30"/>
      <c r="B34" s="900" t="s">
        <v>818</v>
      </c>
      <c r="C34" s="901">
        <v>3.2500000000000001E-2</v>
      </c>
    </row>
    <row r="35" spans="1:5" customFormat="1" ht="15.75">
      <c r="A35" s="30"/>
      <c r="B35" s="900"/>
      <c r="C35" s="899"/>
    </row>
    <row r="36" spans="1:5" ht="15.75">
      <c r="A36" s="587" t="s">
        <v>789</v>
      </c>
      <c r="B36" s="884"/>
      <c r="C36" s="233"/>
      <c r="D36" s="587"/>
      <c r="E36" s="587"/>
    </row>
    <row r="37" spans="1:5" ht="15">
      <c r="A37" s="1299"/>
      <c r="B37" s="1299"/>
      <c r="C37" s="1299"/>
      <c r="D37" s="1299"/>
      <c r="E37" s="587"/>
    </row>
    <row r="38" spans="1:5" ht="15">
      <c r="A38" s="1299" t="s">
        <v>790</v>
      </c>
      <c r="B38" s="1299"/>
      <c r="C38" s="1299"/>
      <c r="D38" s="1299"/>
      <c r="E38" s="587"/>
    </row>
    <row r="39" spans="1:5" ht="15">
      <c r="A39" s="587" t="s">
        <v>160</v>
      </c>
      <c r="B39" s="587"/>
      <c r="C39" s="587"/>
      <c r="D39" s="587"/>
      <c r="E39" s="587"/>
    </row>
    <row r="40" spans="1:5" ht="15">
      <c r="A40" s="1299" t="s">
        <v>791</v>
      </c>
      <c r="B40" s="1299"/>
      <c r="C40" s="1299"/>
      <c r="D40" s="587"/>
      <c r="E40" s="587"/>
    </row>
    <row r="41" spans="1:5" ht="15">
      <c r="A41" s="1299"/>
      <c r="B41" s="1299"/>
      <c r="C41" s="1299"/>
      <c r="D41" s="587"/>
      <c r="E41" s="587"/>
    </row>
    <row r="42" spans="1:5" ht="15">
      <c r="A42" s="587"/>
      <c r="B42" s="878"/>
      <c r="C42" s="225"/>
      <c r="D42" s="587"/>
      <c r="E42" s="587"/>
    </row>
    <row r="43" spans="1:5" ht="15">
      <c r="A43" s="1299"/>
      <c r="B43" s="1299"/>
      <c r="C43" s="1299"/>
      <c r="D43" s="1299"/>
      <c r="E43" s="587"/>
    </row>
    <row r="44" spans="1:5" ht="15.75">
      <c r="A44" s="886" t="s">
        <v>792</v>
      </c>
      <c r="B44" s="878"/>
      <c r="C44" s="225"/>
      <c r="D44" s="587"/>
      <c r="E44" s="587"/>
    </row>
    <row r="45" spans="1:5" ht="15">
      <c r="A45" s="1297" t="s">
        <v>826</v>
      </c>
      <c r="B45" s="1297"/>
      <c r="C45" s="1297"/>
      <c r="D45" s="888"/>
      <c r="E45" s="587"/>
    </row>
    <row r="46" spans="1:5" ht="15">
      <c r="A46" s="1297"/>
      <c r="B46" s="1297"/>
      <c r="C46" s="1297"/>
      <c r="D46" s="888"/>
      <c r="E46" s="587"/>
    </row>
    <row r="47" spans="1:5" ht="15">
      <c r="A47" s="1297"/>
      <c r="B47" s="1297"/>
      <c r="C47" s="1297"/>
      <c r="D47" s="888"/>
      <c r="E47" s="587"/>
    </row>
    <row r="48" spans="1:5" ht="15">
      <c r="A48" s="1297"/>
      <c r="B48" s="1297"/>
      <c r="C48" s="1297"/>
      <c r="D48" s="888"/>
      <c r="E48" s="587"/>
    </row>
    <row r="49" spans="1:5" ht="15">
      <c r="A49" s="1297"/>
      <c r="B49" s="1297"/>
      <c r="C49" s="1297"/>
      <c r="D49" s="888"/>
      <c r="E49" s="587"/>
    </row>
  </sheetData>
  <mergeCells count="11">
    <mergeCell ref="A45:C49"/>
    <mergeCell ref="B3:E3"/>
    <mergeCell ref="B4:E4"/>
    <mergeCell ref="B5:E5"/>
    <mergeCell ref="B6:E6"/>
    <mergeCell ref="B7:E7"/>
    <mergeCell ref="B8:E8"/>
    <mergeCell ref="A37:D37"/>
    <mergeCell ref="A38:D38"/>
    <mergeCell ref="A40:C41"/>
    <mergeCell ref="A43:D43"/>
  </mergeCells>
  <conditionalFormatting sqref="B3:E4">
    <cfRule type="cellIs" dxfId="3" priority="1" stopIfTrue="1" operator="lessThan">
      <formula>0</formula>
    </cfRule>
  </conditionalFormatting>
  <pageMargins left="0.7" right="0.7" top="0.75" bottom="0.75" header="0.3" footer="0.3"/>
  <pageSetup scale="8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G33"/>
  <sheetViews>
    <sheetView tabSelected="1" view="pageBreakPreview" zoomScale="60" zoomScaleNormal="70" workbookViewId="0">
      <selection activeCell="D9" sqref="D9"/>
    </sheetView>
  </sheetViews>
  <sheetFormatPr defaultColWidth="9.140625" defaultRowHeight="12.75"/>
  <cols>
    <col min="1" max="1" width="9.140625" style="877"/>
    <col min="2" max="2" width="38.5703125" style="877" customWidth="1"/>
    <col min="3" max="3" width="21.85546875" style="877" customWidth="1"/>
    <col min="4" max="4" width="25.85546875" style="877" customWidth="1"/>
    <col min="5" max="16384" width="9.140625" style="877"/>
  </cols>
  <sheetData>
    <row r="1" spans="1:7" s="587" customFormat="1" ht="15.75">
      <c r="A1" s="693" t="s">
        <v>116</v>
      </c>
      <c r="G1" s="231"/>
    </row>
    <row r="2" spans="1:7" s="587" customFormat="1" ht="15.75">
      <c r="A2" s="693" t="s">
        <v>116</v>
      </c>
      <c r="G2" s="231"/>
    </row>
    <row r="3" spans="1:7" ht="19.5">
      <c r="A3" s="587"/>
      <c r="B3" s="1298" t="s">
        <v>393</v>
      </c>
      <c r="C3" s="1298"/>
      <c r="D3" s="1298"/>
      <c r="E3" s="1298"/>
    </row>
    <row r="4" spans="1:7" ht="19.5">
      <c r="A4" s="587"/>
      <c r="B4" s="1298" t="s">
        <v>783</v>
      </c>
      <c r="C4" s="1298"/>
      <c r="D4" s="1298"/>
      <c r="E4" s="1298"/>
    </row>
    <row r="5" spans="1:7" ht="19.5">
      <c r="A5" s="587"/>
      <c r="B5" s="1298" t="s">
        <v>784</v>
      </c>
      <c r="C5" s="1298"/>
      <c r="D5" s="1298"/>
      <c r="E5" s="1298"/>
    </row>
    <row r="6" spans="1:7" ht="19.5">
      <c r="A6" s="587"/>
      <c r="B6" s="1298" t="s">
        <v>793</v>
      </c>
      <c r="C6" s="1298"/>
      <c r="D6" s="1298"/>
      <c r="E6" s="1298"/>
    </row>
    <row r="7" spans="1:7" ht="19.5">
      <c r="A7" s="587"/>
      <c r="B7" s="1298" t="s">
        <v>786</v>
      </c>
      <c r="C7" s="1298"/>
      <c r="D7" s="1298"/>
      <c r="E7" s="1298"/>
    </row>
    <row r="8" spans="1:7" ht="19.5">
      <c r="A8" s="587"/>
      <c r="B8" s="1298" t="s">
        <v>794</v>
      </c>
      <c r="C8" s="1298"/>
      <c r="D8" s="1298"/>
      <c r="E8" s="1298"/>
    </row>
    <row r="9" spans="1:7" ht="15">
      <c r="A9" s="587"/>
      <c r="B9" s="878"/>
      <c r="C9" s="878"/>
      <c r="D9" s="590" t="s">
        <v>116</v>
      </c>
      <c r="E9" s="587"/>
    </row>
    <row r="10" spans="1:7" ht="15.75">
      <c r="A10" s="587"/>
      <c r="B10" s="878"/>
      <c r="C10" s="887" t="s">
        <v>401</v>
      </c>
      <c r="D10" s="587"/>
      <c r="E10" s="587"/>
    </row>
    <row r="11" spans="1:7" ht="15.75">
      <c r="A11" s="587"/>
      <c r="B11" s="590"/>
      <c r="C11" s="887" t="s">
        <v>405</v>
      </c>
      <c r="D11" s="887" t="s">
        <v>406</v>
      </c>
      <c r="E11" s="887"/>
    </row>
    <row r="12" spans="1:7" ht="15.75" thickBot="1">
      <c r="A12" s="587"/>
      <c r="B12" s="881"/>
      <c r="C12" s="878"/>
      <c r="D12" s="889" t="s">
        <v>501</v>
      </c>
      <c r="E12" s="587"/>
    </row>
    <row r="13" spans="1:7" ht="15">
      <c r="A13" s="587"/>
      <c r="B13" s="597" t="s">
        <v>408</v>
      </c>
      <c r="C13" s="883"/>
      <c r="D13" s="226"/>
      <c r="E13" s="587"/>
    </row>
    <row r="14" spans="1:7" ht="15">
      <c r="A14" s="587"/>
      <c r="B14" s="587"/>
      <c r="C14" s="890"/>
      <c r="D14" s="225"/>
      <c r="E14" s="891"/>
    </row>
    <row r="15" spans="1:7" ht="15">
      <c r="A15" s="587"/>
      <c r="B15" s="587" t="s">
        <v>795</v>
      </c>
      <c r="C15" s="587">
        <v>350.1</v>
      </c>
      <c r="D15" s="225">
        <v>1.44E-2</v>
      </c>
      <c r="E15" s="891"/>
    </row>
    <row r="16" spans="1:7" ht="15">
      <c r="A16" s="587"/>
      <c r="B16" s="587" t="s">
        <v>409</v>
      </c>
      <c r="C16" s="230">
        <v>352</v>
      </c>
      <c r="D16" s="225">
        <v>2.0799999999999999E-2</v>
      </c>
      <c r="E16" s="891"/>
    </row>
    <row r="17" spans="1:5" ht="15">
      <c r="A17" s="587"/>
      <c r="B17" s="587" t="s">
        <v>410</v>
      </c>
      <c r="C17" s="230">
        <v>353</v>
      </c>
      <c r="D17" s="225">
        <v>2.1499999999999998E-2</v>
      </c>
      <c r="E17" s="891"/>
    </row>
    <row r="18" spans="1:5" ht="15">
      <c r="A18" s="587"/>
      <c r="B18" s="587" t="s">
        <v>411</v>
      </c>
      <c r="C18" s="230">
        <v>354</v>
      </c>
      <c r="D18" s="225">
        <v>2.6100000000000002E-2</v>
      </c>
      <c r="E18" s="891"/>
    </row>
    <row r="19" spans="1:5" ht="15">
      <c r="A19" s="587"/>
      <c r="B19" s="587" t="s">
        <v>412</v>
      </c>
      <c r="C19" s="230">
        <v>355</v>
      </c>
      <c r="D19" s="225">
        <v>3.95E-2</v>
      </c>
      <c r="E19" s="891"/>
    </row>
    <row r="20" spans="1:5" ht="15">
      <c r="A20" s="587"/>
      <c r="B20" s="587" t="s">
        <v>779</v>
      </c>
      <c r="C20" s="230">
        <v>356</v>
      </c>
      <c r="D20" s="225">
        <v>2.9100000000000001E-2</v>
      </c>
      <c r="E20" s="891"/>
    </row>
    <row r="21" spans="1:5" ht="15">
      <c r="A21" s="587"/>
      <c r="B21" s="587" t="s">
        <v>413</v>
      </c>
      <c r="C21" s="230">
        <v>357</v>
      </c>
      <c r="D21" s="225">
        <v>2.9899999999999999E-2</v>
      </c>
      <c r="E21" s="891"/>
    </row>
    <row r="22" spans="1:5" ht="15">
      <c r="A22" s="587"/>
      <c r="B22" s="587" t="s">
        <v>414</v>
      </c>
      <c r="C22" s="230">
        <v>358</v>
      </c>
      <c r="D22" s="225">
        <v>2.6200000000000001E-2</v>
      </c>
      <c r="E22" s="891"/>
    </row>
    <row r="23" spans="1:5" ht="15">
      <c r="A23" s="587"/>
      <c r="B23" s="587"/>
      <c r="C23" s="878"/>
      <c r="D23" s="225"/>
      <c r="E23" s="587"/>
    </row>
    <row r="24" spans="1:5" ht="15.75">
      <c r="A24" s="587"/>
      <c r="B24" s="587" t="s">
        <v>789</v>
      </c>
      <c r="C24" s="884"/>
      <c r="D24" s="233"/>
      <c r="E24" s="587"/>
    </row>
    <row r="25" spans="1:5" ht="15">
      <c r="A25" s="587"/>
      <c r="B25" s="1299"/>
      <c r="C25" s="1299"/>
      <c r="D25" s="1299"/>
      <c r="E25" s="1299"/>
    </row>
    <row r="26" spans="1:5" ht="15">
      <c r="A26" s="587"/>
      <c r="B26" s="1299" t="s">
        <v>796</v>
      </c>
      <c r="C26" s="1299"/>
      <c r="D26" s="1299"/>
      <c r="E26" s="1299"/>
    </row>
    <row r="27" spans="1:5" ht="15">
      <c r="A27" s="587"/>
      <c r="B27" s="1299"/>
      <c r="C27" s="1299"/>
      <c r="D27" s="1299"/>
      <c r="E27" s="1299"/>
    </row>
    <row r="28" spans="1:5" ht="15.75">
      <c r="A28" s="587"/>
      <c r="B28" s="886" t="s">
        <v>792</v>
      </c>
      <c r="C28" s="878"/>
      <c r="D28" s="225"/>
      <c r="E28" s="587"/>
    </row>
    <row r="29" spans="1:5" ht="15">
      <c r="A29" s="587"/>
      <c r="B29" s="1297" t="s">
        <v>826</v>
      </c>
      <c r="C29" s="1297"/>
      <c r="D29" s="1297"/>
      <c r="E29" s="888"/>
    </row>
    <row r="30" spans="1:5" ht="15">
      <c r="A30" s="587"/>
      <c r="B30" s="1297"/>
      <c r="C30" s="1297"/>
      <c r="D30" s="1297"/>
      <c r="E30" s="888"/>
    </row>
    <row r="31" spans="1:5" ht="15">
      <c r="A31" s="587"/>
      <c r="B31" s="1297"/>
      <c r="C31" s="1297"/>
      <c r="D31" s="1297"/>
      <c r="E31" s="888"/>
    </row>
    <row r="32" spans="1:5" ht="15">
      <c r="A32" s="587"/>
      <c r="B32" s="1297"/>
      <c r="C32" s="1297"/>
      <c r="D32" s="1297"/>
      <c r="E32" s="888"/>
    </row>
    <row r="33" spans="1:5" ht="15">
      <c r="A33" s="587"/>
      <c r="B33" s="1297"/>
      <c r="C33" s="1297"/>
      <c r="D33" s="1297"/>
      <c r="E33" s="888"/>
    </row>
  </sheetData>
  <mergeCells count="10">
    <mergeCell ref="B25:E25"/>
    <mergeCell ref="B26:E26"/>
    <mergeCell ref="B27:E27"/>
    <mergeCell ref="B29:D33"/>
    <mergeCell ref="B3:E3"/>
    <mergeCell ref="B4:E4"/>
    <mergeCell ref="B5:E5"/>
    <mergeCell ref="B6:E6"/>
    <mergeCell ref="B7:E7"/>
    <mergeCell ref="B8:E8"/>
  </mergeCells>
  <conditionalFormatting sqref="B3:E4">
    <cfRule type="cellIs" dxfId="2" priority="1" stopIfTrue="1" operator="lessThan">
      <formula>0</formula>
    </cfRule>
  </conditionalFormatting>
  <pageMargins left="0.7" right="0.7" top="0.75" bottom="0.75" header="0.3" footer="0.3"/>
  <pageSetup scale="8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G47"/>
  <sheetViews>
    <sheetView tabSelected="1" view="pageBreakPreview" topLeftCell="A2" zoomScale="60" zoomScaleNormal="70" workbookViewId="0">
      <selection activeCell="D9" sqref="D9"/>
    </sheetView>
  </sheetViews>
  <sheetFormatPr defaultColWidth="9.140625" defaultRowHeight="12.75"/>
  <cols>
    <col min="1" max="1" width="38.85546875" style="877" customWidth="1"/>
    <col min="2" max="2" width="28.42578125" style="877" customWidth="1"/>
    <col min="3" max="3" width="23.140625" style="877" customWidth="1"/>
    <col min="4" max="16384" width="9.140625" style="877"/>
  </cols>
  <sheetData>
    <row r="1" spans="1:7" s="587" customFormat="1" ht="15.75">
      <c r="A1" s="693" t="s">
        <v>116</v>
      </c>
      <c r="G1" s="231"/>
    </row>
    <row r="2" spans="1:7" s="587" customFormat="1" ht="15.75">
      <c r="A2" s="693" t="s">
        <v>116</v>
      </c>
      <c r="G2" s="231"/>
    </row>
    <row r="3" spans="1:7" ht="19.5">
      <c r="A3" s="1298" t="s">
        <v>393</v>
      </c>
      <c r="B3" s="1298"/>
      <c r="C3" s="1298"/>
      <c r="D3" s="1298"/>
    </row>
    <row r="4" spans="1:7" ht="19.5">
      <c r="A4" s="1298" t="s">
        <v>783</v>
      </c>
      <c r="B4" s="1298"/>
      <c r="C4" s="1298"/>
      <c r="D4" s="1298"/>
    </row>
    <row r="5" spans="1:7" ht="19.5">
      <c r="A5" s="1298" t="s">
        <v>784</v>
      </c>
      <c r="B5" s="1298"/>
      <c r="C5" s="1298"/>
      <c r="D5" s="1298"/>
    </row>
    <row r="6" spans="1:7" ht="19.5">
      <c r="A6" s="1298" t="s">
        <v>1155</v>
      </c>
      <c r="B6" s="1298"/>
      <c r="C6" s="1298"/>
      <c r="D6" s="1298"/>
    </row>
    <row r="7" spans="1:7" ht="19.5">
      <c r="A7" s="1298" t="s">
        <v>786</v>
      </c>
      <c r="B7" s="1298"/>
      <c r="C7" s="1298"/>
      <c r="D7" s="1298"/>
    </row>
    <row r="8" spans="1:7" ht="19.5">
      <c r="A8" s="1298" t="s">
        <v>797</v>
      </c>
      <c r="B8" s="1298"/>
      <c r="C8" s="1298"/>
      <c r="D8" s="1298"/>
    </row>
    <row r="9" spans="1:7" ht="15">
      <c r="A9" s="878"/>
      <c r="B9" s="878"/>
      <c r="C9" s="590" t="s">
        <v>116</v>
      </c>
      <c r="D9" s="587"/>
    </row>
    <row r="10" spans="1:7" ht="15.75">
      <c r="A10" s="878"/>
      <c r="B10" s="887" t="s">
        <v>401</v>
      </c>
      <c r="C10" s="587"/>
      <c r="D10" s="587"/>
    </row>
    <row r="11" spans="1:7" ht="15.75">
      <c r="A11" s="590"/>
      <c r="B11" s="887" t="s">
        <v>405</v>
      </c>
      <c r="C11" s="887" t="s">
        <v>406</v>
      </c>
      <c r="D11" s="887"/>
    </row>
    <row r="12" spans="1:7" ht="15.75" thickBot="1">
      <c r="A12" s="881"/>
      <c r="B12" s="878"/>
      <c r="C12" s="889" t="s">
        <v>501</v>
      </c>
      <c r="D12" s="587"/>
    </row>
    <row r="13" spans="1:7" ht="15">
      <c r="A13" s="597" t="s">
        <v>408</v>
      </c>
      <c r="B13" s="883"/>
      <c r="C13" s="226"/>
      <c r="D13" s="587"/>
    </row>
    <row r="14" spans="1:7" ht="15">
      <c r="A14" s="587" t="s">
        <v>409</v>
      </c>
      <c r="B14" s="230">
        <v>352</v>
      </c>
      <c r="C14" s="225">
        <v>2.0199999999999999E-2</v>
      </c>
      <c r="D14" s="891"/>
    </row>
    <row r="15" spans="1:7" ht="15">
      <c r="A15" s="587" t="s">
        <v>410</v>
      </c>
      <c r="B15" s="230">
        <v>353</v>
      </c>
      <c r="C15" s="225">
        <v>2.29E-2</v>
      </c>
      <c r="D15" s="891"/>
    </row>
    <row r="16" spans="1:7" ht="15">
      <c r="A16" s="890"/>
      <c r="B16" s="230"/>
      <c r="C16" s="225"/>
      <c r="D16" s="891"/>
    </row>
    <row r="17" spans="1:4" ht="15">
      <c r="A17" s="587" t="s">
        <v>798</v>
      </c>
      <c r="B17" s="230">
        <v>354</v>
      </c>
      <c r="C17" s="225">
        <v>1.8800000000000001E-2</v>
      </c>
      <c r="D17" s="891"/>
    </row>
    <row r="18" spans="1:4" ht="15">
      <c r="A18" s="587" t="s">
        <v>799</v>
      </c>
      <c r="B18" s="230">
        <v>354</v>
      </c>
      <c r="C18" s="225">
        <v>1.8800000000000001E-2</v>
      </c>
      <c r="D18" s="891"/>
    </row>
    <row r="19" spans="1:4" ht="15">
      <c r="A19" s="587"/>
      <c r="B19" s="230"/>
      <c r="C19" s="225"/>
      <c r="D19" s="891"/>
    </row>
    <row r="20" spans="1:4" ht="15">
      <c r="A20" s="587" t="s">
        <v>800</v>
      </c>
      <c r="B20" s="230">
        <v>355</v>
      </c>
      <c r="C20" s="225">
        <v>3.5200000000000002E-2</v>
      </c>
      <c r="D20" s="891"/>
    </row>
    <row r="21" spans="1:4" ht="15">
      <c r="A21" s="587" t="s">
        <v>801</v>
      </c>
      <c r="B21" s="230">
        <v>355</v>
      </c>
      <c r="C21" s="225">
        <v>3.5200000000000002E-2</v>
      </c>
      <c r="D21" s="891"/>
    </row>
    <row r="22" spans="1:4" ht="15">
      <c r="A22" s="587"/>
      <c r="B22" s="230"/>
      <c r="C22" s="225"/>
      <c r="D22" s="891"/>
    </row>
    <row r="23" spans="1:4" ht="15">
      <c r="A23" s="587" t="s">
        <v>802</v>
      </c>
      <c r="B23" s="230">
        <v>356</v>
      </c>
      <c r="C23" s="225">
        <v>1.9099999999999999E-2</v>
      </c>
      <c r="D23" s="891"/>
    </row>
    <row r="24" spans="1:4" ht="15">
      <c r="A24" s="587" t="s">
        <v>803</v>
      </c>
      <c r="B24" s="230">
        <v>356</v>
      </c>
      <c r="C24" s="225">
        <v>1.9099999999999999E-2</v>
      </c>
      <c r="D24" s="891"/>
    </row>
    <row r="25" spans="1:4" ht="15">
      <c r="A25" s="587" t="s">
        <v>804</v>
      </c>
      <c r="B25" s="230">
        <v>356</v>
      </c>
      <c r="C25" s="225">
        <v>1.9099999999999999E-2</v>
      </c>
      <c r="D25" s="891"/>
    </row>
    <row r="26" spans="1:4" ht="15">
      <c r="A26" s="587" t="s">
        <v>805</v>
      </c>
      <c r="B26" s="230">
        <v>356</v>
      </c>
      <c r="C26" s="225">
        <v>1.9099999999999999E-2</v>
      </c>
      <c r="D26" s="891"/>
    </row>
    <row r="27" spans="1:4" ht="15">
      <c r="A27" s="587" t="s">
        <v>806</v>
      </c>
      <c r="B27" s="230">
        <v>356</v>
      </c>
      <c r="C27" s="225">
        <v>1.9099999999999999E-2</v>
      </c>
      <c r="D27" s="891"/>
    </row>
    <row r="28" spans="1:4" ht="15">
      <c r="A28" s="587"/>
      <c r="B28" s="230"/>
      <c r="C28" s="225"/>
      <c r="D28" s="891"/>
    </row>
    <row r="29" spans="1:4" ht="15">
      <c r="A29" s="587" t="s">
        <v>413</v>
      </c>
      <c r="B29" s="230">
        <v>357</v>
      </c>
      <c r="C29" s="225">
        <v>2.2599999999999999E-2</v>
      </c>
      <c r="D29" s="891"/>
    </row>
    <row r="30" spans="1:4" ht="15">
      <c r="A30" s="587" t="s">
        <v>414</v>
      </c>
      <c r="B30" s="230">
        <v>358</v>
      </c>
      <c r="C30" s="225">
        <v>3.27E-2</v>
      </c>
      <c r="D30" s="891"/>
    </row>
    <row r="31" spans="1:4" ht="15">
      <c r="A31" s="890"/>
      <c r="B31" s="878"/>
      <c r="C31" s="225"/>
      <c r="D31" s="587"/>
    </row>
    <row r="32" spans="1:4" ht="15.75" thickBot="1">
      <c r="A32" s="895"/>
      <c r="B32" s="896"/>
      <c r="C32" s="897"/>
      <c r="D32" s="587"/>
    </row>
    <row r="33" spans="1:4" ht="15">
      <c r="A33" s="881"/>
      <c r="B33" s="878"/>
      <c r="C33" s="225"/>
      <c r="D33" s="587"/>
    </row>
    <row r="34" spans="1:4" ht="15">
      <c r="A34" s="587"/>
      <c r="B34" s="878"/>
      <c r="C34" s="225"/>
      <c r="D34" s="587"/>
    </row>
    <row r="35" spans="1:4" ht="15.75">
      <c r="A35" s="587" t="s">
        <v>789</v>
      </c>
      <c r="B35" s="884"/>
      <c r="C35" s="233"/>
      <c r="D35" s="587"/>
    </row>
    <row r="36" spans="1:4" ht="15">
      <c r="A36" s="587"/>
      <c r="B36" s="587"/>
      <c r="C36" s="587"/>
      <c r="D36" s="587"/>
    </row>
    <row r="37" spans="1:4" ht="15" customHeight="1">
      <c r="A37" s="1299" t="s">
        <v>1156</v>
      </c>
      <c r="B37" s="1299"/>
      <c r="C37" s="1299"/>
      <c r="D37" s="1299"/>
    </row>
    <row r="38" spans="1:4" ht="15">
      <c r="A38" s="587" t="s">
        <v>1157</v>
      </c>
      <c r="B38" s="587"/>
      <c r="C38" s="587"/>
      <c r="D38" s="587"/>
    </row>
    <row r="39" spans="1:4" ht="15">
      <c r="A39" s="587"/>
      <c r="B39" s="587"/>
      <c r="C39" s="587"/>
      <c r="D39" s="587"/>
    </row>
    <row r="40" spans="1:4" ht="15">
      <c r="A40" s="587"/>
      <c r="B40" s="587"/>
      <c r="C40" s="587"/>
      <c r="D40" s="587"/>
    </row>
    <row r="41" spans="1:4" ht="15.75">
      <c r="A41" s="886" t="s">
        <v>807</v>
      </c>
      <c r="B41" s="878"/>
      <c r="C41" s="225"/>
      <c r="D41" s="587"/>
    </row>
    <row r="42" spans="1:4">
      <c r="A42" s="1297" t="s">
        <v>826</v>
      </c>
      <c r="B42" s="1297"/>
      <c r="C42" s="1297"/>
      <c r="D42" s="888"/>
    </row>
    <row r="43" spans="1:4">
      <c r="A43" s="1297"/>
      <c r="B43" s="1297"/>
      <c r="C43" s="1297"/>
      <c r="D43" s="888"/>
    </row>
    <row r="44" spans="1:4">
      <c r="A44" s="1297"/>
      <c r="B44" s="1297"/>
      <c r="C44" s="1297"/>
      <c r="D44" s="888"/>
    </row>
    <row r="45" spans="1:4">
      <c r="A45" s="1297"/>
      <c r="B45" s="1297"/>
      <c r="C45" s="1297"/>
      <c r="D45" s="888"/>
    </row>
    <row r="46" spans="1:4">
      <c r="A46" s="1297"/>
      <c r="B46" s="1297"/>
      <c r="C46" s="1297"/>
      <c r="D46" s="888"/>
    </row>
    <row r="47" spans="1:4" ht="15">
      <c r="A47" s="587"/>
      <c r="B47" s="587"/>
      <c r="C47" s="587"/>
      <c r="D47" s="587"/>
    </row>
  </sheetData>
  <mergeCells count="8">
    <mergeCell ref="A37:D37"/>
    <mergeCell ref="A42:C46"/>
    <mergeCell ref="A3:D3"/>
    <mergeCell ref="A4:D4"/>
    <mergeCell ref="A5:D5"/>
    <mergeCell ref="A6:D6"/>
    <mergeCell ref="A7:D7"/>
    <mergeCell ref="A8:D8"/>
  </mergeCells>
  <pageMargins left="0.7" right="0.7" top="0.75" bottom="0.75" header="0.3" footer="0.3"/>
  <pageSetup scale="9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codeName="Sheet27">
    <pageSetUpPr fitToPage="1"/>
  </sheetPr>
  <dimension ref="A1:H45"/>
  <sheetViews>
    <sheetView tabSelected="1" defaultGridColor="0" view="pageBreakPreview" topLeftCell="A4" colorId="22" zoomScale="60" zoomScaleNormal="75" workbookViewId="0">
      <selection activeCell="D9" sqref="D9"/>
    </sheetView>
  </sheetViews>
  <sheetFormatPr defaultColWidth="14.5703125" defaultRowHeight="15"/>
  <cols>
    <col min="1" max="1" width="41.5703125" style="587" customWidth="1"/>
    <col min="2" max="2" width="33.140625" style="587" customWidth="1"/>
    <col min="3" max="4" width="31.85546875" style="587" customWidth="1"/>
    <col min="5" max="5" width="16.5703125" style="587" customWidth="1"/>
    <col min="6" max="6" width="14.5703125" style="587" customWidth="1"/>
    <col min="7" max="7" width="4.85546875" style="587" customWidth="1"/>
    <col min="8" max="8" width="14.5703125" style="231" customWidth="1"/>
    <col min="9" max="9" width="18.42578125" style="587" customWidth="1"/>
    <col min="10" max="10" width="15.5703125" style="587" customWidth="1"/>
    <col min="11" max="11" width="6.140625" style="587" customWidth="1"/>
    <col min="12" max="12" width="14.5703125" style="587" customWidth="1"/>
    <col min="13" max="13" width="16.140625" style="587" customWidth="1"/>
    <col min="14" max="14" width="14.5703125" style="587" customWidth="1"/>
    <col min="15" max="15" width="4.85546875" style="587" customWidth="1"/>
    <col min="16" max="16" width="18.5703125" style="587" customWidth="1"/>
    <col min="17" max="16384" width="14.5703125" style="587"/>
  </cols>
  <sheetData>
    <row r="1" spans="1:7" s="587" customFormat="1" ht="15.75">
      <c r="A1" s="693" t="s">
        <v>116</v>
      </c>
      <c r="G1" s="231"/>
    </row>
    <row r="2" spans="1:7" s="587" customFormat="1" ht="15.75">
      <c r="A2" s="693" t="s">
        <v>116</v>
      </c>
      <c r="G2" s="231"/>
    </row>
    <row r="3" spans="1:7" ht="19.5">
      <c r="B3" s="1298" t="s">
        <v>393</v>
      </c>
      <c r="C3" s="1298"/>
      <c r="D3" s="1298"/>
      <c r="E3" s="1298"/>
    </row>
    <row r="4" spans="1:7" ht="19.5">
      <c r="B4" s="1298" t="s">
        <v>783</v>
      </c>
      <c r="C4" s="1298"/>
      <c r="D4" s="1298"/>
      <c r="E4" s="1298"/>
    </row>
    <row r="5" spans="1:7" ht="19.5">
      <c r="B5" s="1298" t="s">
        <v>784</v>
      </c>
      <c r="C5" s="1298"/>
      <c r="D5" s="1298"/>
      <c r="E5" s="1298"/>
    </row>
    <row r="6" spans="1:7" ht="19.5">
      <c r="B6" s="1298" t="s">
        <v>1154</v>
      </c>
      <c r="C6" s="1298"/>
      <c r="D6" s="1298"/>
      <c r="E6" s="1298"/>
    </row>
    <row r="7" spans="1:7" ht="19.5">
      <c r="B7" s="1298" t="s">
        <v>786</v>
      </c>
      <c r="C7" s="1298"/>
      <c r="D7" s="1298"/>
      <c r="E7" s="1298"/>
    </row>
    <row r="8" spans="1:7" ht="19.5">
      <c r="B8" s="1298" t="s">
        <v>808</v>
      </c>
      <c r="C8" s="1298"/>
      <c r="D8" s="1298"/>
      <c r="E8" s="1298"/>
    </row>
    <row r="9" spans="1:7">
      <c r="B9" s="878"/>
      <c r="C9" s="878"/>
      <c r="D9" s="590" t="s">
        <v>116</v>
      </c>
    </row>
    <row r="10" spans="1:7">
      <c r="A10" s="1297"/>
      <c r="B10" s="1297"/>
      <c r="C10" s="1297"/>
      <c r="D10" s="888"/>
    </row>
    <row r="11" spans="1:7" ht="15.75">
      <c r="A11" s="878"/>
      <c r="B11" s="887" t="s">
        <v>401</v>
      </c>
    </row>
    <row r="12" spans="1:7" ht="15.75">
      <c r="A12" s="590"/>
      <c r="B12" s="887" t="s">
        <v>405</v>
      </c>
      <c r="C12" s="887" t="s">
        <v>406</v>
      </c>
      <c r="D12" s="887"/>
    </row>
    <row r="13" spans="1:7" ht="15.75" thickBot="1">
      <c r="C13" s="891" t="s">
        <v>501</v>
      </c>
    </row>
    <row r="14" spans="1:7">
      <c r="A14" s="597" t="s">
        <v>408</v>
      </c>
      <c r="B14" s="883"/>
      <c r="C14" s="226"/>
    </row>
    <row r="15" spans="1:7">
      <c r="A15" s="890"/>
      <c r="D15" s="891"/>
    </row>
    <row r="16" spans="1:7">
      <c r="A16" s="587" t="s">
        <v>409</v>
      </c>
      <c r="B16" s="230">
        <v>352</v>
      </c>
      <c r="C16" s="225">
        <v>1.15E-2</v>
      </c>
      <c r="D16" s="891"/>
    </row>
    <row r="17" spans="1:4">
      <c r="A17" s="587" t="s">
        <v>410</v>
      </c>
      <c r="B17" s="230">
        <v>353</v>
      </c>
      <c r="C17" s="225">
        <v>2.2200000000000001E-2</v>
      </c>
      <c r="D17" s="891"/>
    </row>
    <row r="18" spans="1:4">
      <c r="A18" s="587" t="s">
        <v>411</v>
      </c>
      <c r="B18" s="230">
        <v>354</v>
      </c>
      <c r="C18" s="225">
        <v>2.6499999999999999E-2</v>
      </c>
      <c r="D18" s="891"/>
    </row>
    <row r="19" spans="1:4">
      <c r="A19" s="587" t="s">
        <v>412</v>
      </c>
      <c r="B19" s="230">
        <v>355</v>
      </c>
      <c r="C19" s="225">
        <v>2.41E-2</v>
      </c>
      <c r="D19" s="891"/>
    </row>
    <row r="20" spans="1:4">
      <c r="A20" s="587" t="s">
        <v>779</v>
      </c>
      <c r="B20" s="230">
        <v>356</v>
      </c>
      <c r="C20" s="225">
        <v>1.32E-2</v>
      </c>
      <c r="D20" s="891"/>
    </row>
    <row r="21" spans="1:4">
      <c r="A21" s="587" t="s">
        <v>413</v>
      </c>
      <c r="B21" s="230">
        <v>351</v>
      </c>
      <c r="C21" s="225">
        <v>9.9400000000000002E-2</v>
      </c>
      <c r="D21" s="891"/>
    </row>
    <row r="22" spans="1:4">
      <c r="A22" s="587" t="s">
        <v>414</v>
      </c>
      <c r="B22" s="230">
        <v>351</v>
      </c>
      <c r="C22" s="225">
        <v>0.13980000000000001</v>
      </c>
      <c r="D22" s="891"/>
    </row>
    <row r="23" spans="1:4">
      <c r="A23" s="587" t="s">
        <v>780</v>
      </c>
      <c r="B23" s="230">
        <v>359</v>
      </c>
      <c r="C23" s="889" t="s">
        <v>809</v>
      </c>
      <c r="D23" s="891"/>
    </row>
    <row r="24" spans="1:4" ht="15.75" thickBot="1">
      <c r="B24" s="230"/>
      <c r="C24" s="225"/>
      <c r="D24" s="891"/>
    </row>
    <row r="25" spans="1:4">
      <c r="A25" s="597" t="s">
        <v>810</v>
      </c>
      <c r="B25" s="883"/>
      <c r="C25" s="226"/>
      <c r="D25" s="891"/>
    </row>
    <row r="26" spans="1:4" ht="15" customHeight="1">
      <c r="B26" s="230"/>
      <c r="C26" s="225"/>
      <c r="D26" s="891"/>
    </row>
    <row r="27" spans="1:4">
      <c r="A27" s="587" t="s">
        <v>811</v>
      </c>
      <c r="B27" s="230">
        <v>390</v>
      </c>
      <c r="C27" s="225">
        <v>1.0800000000000001E-2</v>
      </c>
      <c r="D27" s="891"/>
    </row>
    <row r="28" spans="1:4">
      <c r="A28" s="587" t="s">
        <v>812</v>
      </c>
      <c r="B28" s="230">
        <v>391</v>
      </c>
      <c r="C28" s="225">
        <v>2.1299999999999999E-2</v>
      </c>
      <c r="D28" s="891"/>
    </row>
    <row r="29" spans="1:4">
      <c r="A29" s="587" t="s">
        <v>813</v>
      </c>
      <c r="B29" s="230">
        <v>393</v>
      </c>
      <c r="C29" s="225">
        <v>1.78E-2</v>
      </c>
      <c r="D29" s="891"/>
    </row>
    <row r="30" spans="1:4" ht="15" customHeight="1">
      <c r="A30" s="587" t="s">
        <v>814</v>
      </c>
      <c r="B30" s="230">
        <v>394</v>
      </c>
      <c r="C30" s="225">
        <v>1.6500000000000001E-2</v>
      </c>
      <c r="D30" s="891"/>
    </row>
    <row r="31" spans="1:4">
      <c r="A31" s="587" t="s">
        <v>816</v>
      </c>
      <c r="B31" s="230">
        <v>397</v>
      </c>
      <c r="C31" s="225">
        <v>5.0900000000000001E-2</v>
      </c>
      <c r="D31" s="891"/>
    </row>
    <row r="32" spans="1:4">
      <c r="A32" s="587" t="s">
        <v>817</v>
      </c>
      <c r="B32" s="230">
        <v>398</v>
      </c>
      <c r="C32" s="225">
        <v>2.76E-2</v>
      </c>
      <c r="D32" s="891"/>
    </row>
    <row r="33" spans="1:4">
      <c r="B33" s="230"/>
      <c r="C33" s="225"/>
      <c r="D33" s="891"/>
    </row>
    <row r="34" spans="1:4">
      <c r="B34" s="230"/>
      <c r="C34" s="225"/>
      <c r="D34" s="891"/>
    </row>
    <row r="35" spans="1:4">
      <c r="B35" s="230"/>
      <c r="C35" s="225"/>
      <c r="D35" s="891"/>
    </row>
    <row r="36" spans="1:4">
      <c r="A36" s="890"/>
      <c r="B36" s="878"/>
      <c r="C36" s="225"/>
    </row>
    <row r="37" spans="1:4" ht="15" customHeight="1">
      <c r="A37" s="1299" t="s">
        <v>1153</v>
      </c>
      <c r="B37" s="1299"/>
      <c r="C37" s="1299"/>
      <c r="D37" s="1299"/>
    </row>
    <row r="38" spans="1:4" ht="15.75">
      <c r="B38" s="884"/>
      <c r="C38" s="233"/>
    </row>
    <row r="39" spans="1:4">
      <c r="A39" s="1299"/>
      <c r="B39" s="1299"/>
      <c r="C39" s="1299"/>
      <c r="D39" s="1299"/>
    </row>
    <row r="40" spans="1:4" ht="15.75">
      <c r="A40" s="886" t="s">
        <v>807</v>
      </c>
      <c r="B40" s="878"/>
      <c r="C40" s="225"/>
    </row>
    <row r="41" spans="1:4">
      <c r="A41" s="1297" t="s">
        <v>826</v>
      </c>
      <c r="B41" s="1297"/>
      <c r="C41" s="1297"/>
      <c r="D41" s="888"/>
    </row>
    <row r="42" spans="1:4">
      <c r="A42" s="1297"/>
      <c r="B42" s="1297"/>
      <c r="C42" s="1297"/>
      <c r="D42" s="888"/>
    </row>
    <row r="43" spans="1:4">
      <c r="A43" s="1297"/>
      <c r="B43" s="1297"/>
      <c r="C43" s="1297"/>
      <c r="D43" s="888"/>
    </row>
    <row r="44" spans="1:4">
      <c r="A44" s="1297"/>
      <c r="B44" s="1297"/>
      <c r="C44" s="1297"/>
      <c r="D44" s="888"/>
    </row>
    <row r="45" spans="1:4">
      <c r="A45" s="1297"/>
      <c r="B45" s="1297"/>
      <c r="C45" s="1297"/>
      <c r="D45" s="888"/>
    </row>
  </sheetData>
  <mergeCells count="10">
    <mergeCell ref="A37:D37"/>
    <mergeCell ref="A39:D39"/>
    <mergeCell ref="A41:C45"/>
    <mergeCell ref="A10:C10"/>
    <mergeCell ref="B3:E3"/>
    <mergeCell ref="B4:E4"/>
    <mergeCell ref="B5:E5"/>
    <mergeCell ref="B6:E6"/>
    <mergeCell ref="B7:E7"/>
    <mergeCell ref="B8:E8"/>
  </mergeCells>
  <conditionalFormatting sqref="B3:T4">
    <cfRule type="cellIs" dxfId="1" priority="2" stopIfTrue="1" operator="lessThan">
      <formula>0</formula>
    </cfRule>
  </conditionalFormatting>
  <conditionalFormatting sqref="C23">
    <cfRule type="cellIs" dxfId="0" priority="1" stopIfTrue="1" operator="lessThan">
      <formula>0</formula>
    </cfRule>
  </conditionalFormatting>
  <printOptions horizontalCentered="1"/>
  <pageMargins left="0.55000000000000004" right="0.55000000000000004" top="1.25" bottom="0.75" header="0.75" footer="0.27"/>
  <pageSetup scale="68" orientation="landscape" r:id="rId1"/>
  <headerFooter alignWithMargins="0">
    <oddHeader>&amp;RFormula Rate 
&amp;A
Page &amp;P of &amp;N</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K61"/>
  <sheetViews>
    <sheetView tabSelected="1" view="pageBreakPreview" zoomScale="60" zoomScaleNormal="100" workbookViewId="0">
      <selection activeCell="D9" sqref="D9"/>
    </sheetView>
  </sheetViews>
  <sheetFormatPr defaultColWidth="8.85546875" defaultRowHeight="12.75"/>
  <cols>
    <col min="1" max="1" width="33.42578125" customWidth="1"/>
    <col min="2" max="2" width="10.42578125" customWidth="1"/>
    <col min="3" max="3" width="3.42578125" customWidth="1"/>
    <col min="4" max="4" width="25.85546875" customWidth="1"/>
    <col min="5" max="5" width="4.5703125" customWidth="1"/>
    <col min="6" max="6" width="15.5703125" customWidth="1"/>
    <col min="8" max="8" width="17.85546875" customWidth="1"/>
    <col min="9" max="9" width="18.140625" customWidth="1"/>
    <col min="11" max="11" width="18.140625" customWidth="1"/>
  </cols>
  <sheetData>
    <row r="1" spans="1:11" ht="15.75">
      <c r="A1" s="693" t="s">
        <v>116</v>
      </c>
    </row>
    <row r="2" spans="1:11" ht="15.75">
      <c r="A2" s="693" t="s">
        <v>116</v>
      </c>
    </row>
    <row r="3" spans="1:11" ht="15.75">
      <c r="A3" s="1300" t="s">
        <v>389</v>
      </c>
      <c r="B3" s="1300"/>
      <c r="C3" s="1300"/>
      <c r="D3" s="1300"/>
      <c r="E3" s="1300"/>
      <c r="F3" s="1300"/>
      <c r="G3" s="1300"/>
      <c r="H3" s="1300"/>
      <c r="I3" s="1300"/>
      <c r="J3" s="1300"/>
      <c r="K3" s="1300"/>
    </row>
    <row r="4" spans="1:11" ht="15.75">
      <c r="A4" s="1301" t="s">
        <v>569</v>
      </c>
      <c r="B4" s="1301"/>
      <c r="C4" s="1301"/>
      <c r="D4" s="1301"/>
      <c r="E4" s="1301"/>
      <c r="F4" s="1301"/>
      <c r="G4" s="1301"/>
      <c r="H4" s="1301"/>
      <c r="I4" s="1301"/>
      <c r="J4" s="1301"/>
      <c r="K4" s="1301"/>
    </row>
    <row r="5" spans="1:11" ht="15.75">
      <c r="A5" s="1301" t="s">
        <v>570</v>
      </c>
      <c r="B5" s="1301"/>
      <c r="C5" s="1301"/>
      <c r="D5" s="1301"/>
      <c r="E5" s="1301"/>
      <c r="F5" s="1301"/>
      <c r="G5" s="1301"/>
      <c r="H5" s="1301"/>
      <c r="I5" s="1301"/>
      <c r="J5" s="1301"/>
      <c r="K5" s="1301"/>
    </row>
    <row r="6" spans="1:11" ht="15.75">
      <c r="A6" s="2"/>
      <c r="B6" s="2"/>
      <c r="C6" s="2"/>
      <c r="D6" s="1301"/>
      <c r="E6" s="1301"/>
      <c r="F6" s="1301"/>
      <c r="G6" s="1301"/>
      <c r="H6" s="2"/>
      <c r="I6" s="2"/>
      <c r="J6" s="2"/>
      <c r="K6" s="2"/>
    </row>
    <row r="9" spans="1:11" ht="16.5" thickBot="1">
      <c r="A9" s="603"/>
      <c r="B9" s="604"/>
      <c r="C9" s="604"/>
      <c r="D9" s="604"/>
      <c r="E9" s="604"/>
      <c r="F9" s="604"/>
      <c r="G9" s="604"/>
      <c r="H9" s="604"/>
      <c r="I9" s="604"/>
      <c r="J9" s="604"/>
      <c r="K9" s="604"/>
    </row>
    <row r="10" spans="1:11" ht="47.25">
      <c r="A10" s="605" t="str">
        <f>"Reconciliation Revenue Requirement For Year 2018 Available May 25, 2019"</f>
        <v>Reconciliation Revenue Requirement For Year 2018 Available May 25, 2019</v>
      </c>
      <c r="B10" s="604"/>
      <c r="C10" s="604"/>
      <c r="D10" s="605" t="s">
        <v>1038</v>
      </c>
      <c r="E10" s="604"/>
      <c r="F10" s="604"/>
      <c r="G10" s="2"/>
      <c r="H10" s="605" t="s">
        <v>550</v>
      </c>
      <c r="I10" s="2"/>
      <c r="J10" s="2"/>
      <c r="K10" s="2"/>
    </row>
    <row r="11" spans="1:11" ht="15.75">
      <c r="A11" s="606" t="s">
        <v>116</v>
      </c>
      <c r="B11" s="604"/>
      <c r="C11" s="604"/>
      <c r="D11" s="606"/>
      <c r="E11" s="604"/>
      <c r="F11" s="604"/>
      <c r="G11" s="2"/>
      <c r="H11" s="607"/>
      <c r="I11" s="2"/>
      <c r="J11" s="2"/>
      <c r="K11" s="2"/>
    </row>
    <row r="12" spans="1:11" ht="16.5" thickBot="1">
      <c r="A12" s="685">
        <v>0</v>
      </c>
      <c r="B12" s="608" t="str">
        <f>"-"</f>
        <v>-</v>
      </c>
      <c r="C12" s="609"/>
      <c r="D12" s="685">
        <v>0</v>
      </c>
      <c r="E12" s="610"/>
      <c r="F12" s="611" t="str">
        <f>"="</f>
        <v>=</v>
      </c>
      <c r="G12" s="612"/>
      <c r="H12" s="613">
        <f>IF(A12=0,0,D12-A12)</f>
        <v>0</v>
      </c>
      <c r="I12" s="2"/>
      <c r="J12" s="2"/>
      <c r="K12" s="2"/>
    </row>
    <row r="13" spans="1:11" ht="15.75">
      <c r="A13" s="614"/>
      <c r="B13" s="615"/>
      <c r="C13" s="615"/>
      <c r="D13" s="614"/>
      <c r="E13" s="614"/>
      <c r="F13" s="615"/>
      <c r="G13" s="614"/>
      <c r="H13" s="2"/>
      <c r="I13" s="2"/>
      <c r="J13" s="2"/>
      <c r="K13" s="2"/>
    </row>
    <row r="14" spans="1:11" ht="16.5" thickBot="1">
      <c r="A14" s="616"/>
      <c r="B14" s="617"/>
      <c r="C14" s="617"/>
      <c r="D14" s="616"/>
      <c r="E14" s="616"/>
      <c r="F14" s="617"/>
      <c r="G14" s="616"/>
      <c r="H14" s="618"/>
      <c r="I14" s="618"/>
      <c r="J14" s="618"/>
      <c r="K14" s="618"/>
    </row>
    <row r="15" spans="1:11" ht="15.75">
      <c r="A15" s="619"/>
      <c r="B15" s="615"/>
      <c r="C15" s="615"/>
      <c r="D15" s="614"/>
      <c r="E15" s="614"/>
      <c r="F15" s="615"/>
      <c r="G15" s="614"/>
      <c r="H15" s="2"/>
      <c r="I15" s="2"/>
      <c r="J15" s="2"/>
      <c r="K15" s="2"/>
    </row>
    <row r="16" spans="1:11" ht="47.25">
      <c r="A16" s="620" t="s">
        <v>551</v>
      </c>
      <c r="B16" s="615"/>
      <c r="C16" s="615"/>
      <c r="D16" s="621" t="s">
        <v>552</v>
      </c>
      <c r="E16" s="614"/>
      <c r="F16" s="621" t="s">
        <v>553</v>
      </c>
      <c r="G16" s="622" t="s">
        <v>554</v>
      </c>
      <c r="H16" s="623" t="s">
        <v>555</v>
      </c>
      <c r="I16" s="621" t="s">
        <v>556</v>
      </c>
      <c r="J16" s="624"/>
      <c r="K16" s="621" t="s">
        <v>557</v>
      </c>
    </row>
    <row r="17" spans="1:11" ht="15.75">
      <c r="A17" s="620" t="s">
        <v>558</v>
      </c>
      <c r="B17" s="615"/>
      <c r="C17" s="615"/>
      <c r="D17" s="2"/>
      <c r="E17" s="625"/>
      <c r="F17" s="1018">
        <v>4.0949999999999997E-3</v>
      </c>
      <c r="H17" s="2"/>
      <c r="I17" s="2"/>
      <c r="J17" s="2"/>
      <c r="K17" s="2"/>
    </row>
    <row r="18" spans="1:11" ht="15.75">
      <c r="A18" s="620"/>
      <c r="B18" s="615"/>
      <c r="C18" s="615"/>
      <c r="D18" s="2"/>
      <c r="E18" s="625"/>
      <c r="F18" s="625"/>
      <c r="G18" s="614"/>
      <c r="H18" s="2"/>
      <c r="I18" s="2"/>
      <c r="J18" s="2"/>
      <c r="K18" s="2"/>
    </row>
    <row r="19" spans="1:11" ht="15.75">
      <c r="A19" s="620" t="s">
        <v>1039</v>
      </c>
      <c r="B19" s="615"/>
      <c r="C19" s="615"/>
      <c r="D19" s="2"/>
      <c r="E19" s="625"/>
      <c r="F19" s="625"/>
      <c r="G19" s="614"/>
      <c r="H19" s="2"/>
      <c r="I19" s="2"/>
      <c r="J19" s="2"/>
      <c r="K19" s="2"/>
    </row>
    <row r="20" spans="1:11" ht="15.75">
      <c r="A20" s="626" t="s">
        <v>116</v>
      </c>
      <c r="B20" s="615"/>
      <c r="C20" s="615"/>
      <c r="D20" s="615"/>
      <c r="E20" s="615"/>
      <c r="F20" s="615" t="s">
        <v>116</v>
      </c>
      <c r="G20" s="2"/>
      <c r="H20" s="2"/>
      <c r="I20" s="2"/>
      <c r="J20" s="2"/>
      <c r="K20" s="2"/>
    </row>
    <row r="21" spans="1:11" ht="15.75">
      <c r="A21" s="627"/>
      <c r="B21" s="615"/>
      <c r="C21" s="615"/>
      <c r="D21" s="615"/>
      <c r="E21" s="615"/>
      <c r="F21" s="2"/>
      <c r="G21" s="2"/>
      <c r="H21" s="622"/>
      <c r="I21" s="615"/>
      <c r="J21" s="615"/>
      <c r="K21" s="615"/>
    </row>
    <row r="22" spans="1:11" ht="15.75">
      <c r="A22" s="627" t="s">
        <v>559</v>
      </c>
      <c r="B22" s="615"/>
      <c r="C22" s="615"/>
      <c r="D22" s="615"/>
      <c r="E22" s="615"/>
      <c r="F22" s="2"/>
      <c r="G22" s="2"/>
      <c r="H22" s="622" t="s">
        <v>560</v>
      </c>
      <c r="I22" s="615"/>
      <c r="J22" s="615"/>
      <c r="K22" s="615"/>
    </row>
    <row r="23" spans="1:11" ht="15.75">
      <c r="A23" s="604" t="s">
        <v>187</v>
      </c>
      <c r="B23" s="604" t="str">
        <f>"Year 2018"</f>
        <v>Year 2018</v>
      </c>
      <c r="C23" s="604"/>
      <c r="D23" s="628">
        <f>H12/12</f>
        <v>0</v>
      </c>
      <c r="E23" s="628"/>
      <c r="F23" s="629">
        <f>+F17</f>
        <v>4.0949999999999997E-3</v>
      </c>
      <c r="G23" s="604">
        <v>12</v>
      </c>
      <c r="H23" s="628">
        <f>F23*D23*G23*-1</f>
        <v>0</v>
      </c>
      <c r="I23" s="628"/>
      <c r="J23" s="628"/>
      <c r="K23" s="628">
        <f>(-H23+D23)*-1</f>
        <v>0</v>
      </c>
    </row>
    <row r="24" spans="1:11" ht="15.75">
      <c r="A24" s="604" t="s">
        <v>561</v>
      </c>
      <c r="B24" s="604" t="str">
        <f>B23</f>
        <v>Year 2018</v>
      </c>
      <c r="C24" s="604"/>
      <c r="D24" s="628">
        <f>+D23</f>
        <v>0</v>
      </c>
      <c r="E24" s="628"/>
      <c r="F24" s="629">
        <f>+F23</f>
        <v>4.0949999999999997E-3</v>
      </c>
      <c r="G24" s="604">
        <f t="shared" ref="G24:G34" si="0">+G23-1</f>
        <v>11</v>
      </c>
      <c r="H24" s="628">
        <f t="shared" ref="H24:H34" si="1">F24*D24*G24*-1</f>
        <v>0</v>
      </c>
      <c r="I24" s="628"/>
      <c r="J24" s="628"/>
      <c r="K24" s="628">
        <f t="shared" ref="K24:K34" si="2">(-H24+D24)*-1</f>
        <v>0</v>
      </c>
    </row>
    <row r="25" spans="1:11" ht="15.75">
      <c r="A25" s="604" t="s">
        <v>188</v>
      </c>
      <c r="B25" s="604" t="str">
        <f t="shared" ref="B25:B34" si="3">B24</f>
        <v>Year 2018</v>
      </c>
      <c r="C25" s="604"/>
      <c r="D25" s="628">
        <f t="shared" ref="D25:D34" si="4">+D24</f>
        <v>0</v>
      </c>
      <c r="E25" s="628"/>
      <c r="F25" s="629">
        <f t="shared" ref="F25:F34" si="5">+F24</f>
        <v>4.0949999999999997E-3</v>
      </c>
      <c r="G25" s="604">
        <f t="shared" si="0"/>
        <v>10</v>
      </c>
      <c r="H25" s="628">
        <f t="shared" si="1"/>
        <v>0</v>
      </c>
      <c r="I25" s="628"/>
      <c r="J25" s="628"/>
      <c r="K25" s="628">
        <f t="shared" si="2"/>
        <v>0</v>
      </c>
    </row>
    <row r="26" spans="1:11" ht="15.75">
      <c r="A26" s="604" t="s">
        <v>189</v>
      </c>
      <c r="B26" s="604" t="str">
        <f t="shared" si="3"/>
        <v>Year 2018</v>
      </c>
      <c r="C26" s="604"/>
      <c r="D26" s="628">
        <f t="shared" si="4"/>
        <v>0</v>
      </c>
      <c r="E26" s="628"/>
      <c r="F26" s="629">
        <f t="shared" si="5"/>
        <v>4.0949999999999997E-3</v>
      </c>
      <c r="G26" s="604">
        <f t="shared" si="0"/>
        <v>9</v>
      </c>
      <c r="H26" s="628">
        <f t="shared" si="1"/>
        <v>0</v>
      </c>
      <c r="I26" s="628"/>
      <c r="J26" s="628"/>
      <c r="K26" s="628">
        <f t="shared" si="2"/>
        <v>0</v>
      </c>
    </row>
    <row r="27" spans="1:11" ht="15.75">
      <c r="A27" s="604" t="s">
        <v>190</v>
      </c>
      <c r="B27" s="604" t="str">
        <f t="shared" si="3"/>
        <v>Year 2018</v>
      </c>
      <c r="C27" s="604"/>
      <c r="D27" s="628">
        <f t="shared" si="4"/>
        <v>0</v>
      </c>
      <c r="E27" s="628"/>
      <c r="F27" s="629">
        <f t="shared" si="5"/>
        <v>4.0949999999999997E-3</v>
      </c>
      <c r="G27" s="604">
        <f t="shared" si="0"/>
        <v>8</v>
      </c>
      <c r="H27" s="628">
        <f t="shared" si="1"/>
        <v>0</v>
      </c>
      <c r="I27" s="628"/>
      <c r="J27" s="628"/>
      <c r="K27" s="628">
        <f t="shared" si="2"/>
        <v>0</v>
      </c>
    </row>
    <row r="28" spans="1:11" ht="15.75">
      <c r="A28" s="604" t="s">
        <v>384</v>
      </c>
      <c r="B28" s="604" t="str">
        <f t="shared" si="3"/>
        <v>Year 2018</v>
      </c>
      <c r="C28" s="604"/>
      <c r="D28" s="628">
        <f t="shared" si="4"/>
        <v>0</v>
      </c>
      <c r="E28" s="628"/>
      <c r="F28" s="629">
        <f t="shared" si="5"/>
        <v>4.0949999999999997E-3</v>
      </c>
      <c r="G28" s="604">
        <f t="shared" si="0"/>
        <v>7</v>
      </c>
      <c r="H28" s="628">
        <f t="shared" si="1"/>
        <v>0</v>
      </c>
      <c r="I28" s="628"/>
      <c r="J28" s="628"/>
      <c r="K28" s="628">
        <f t="shared" si="2"/>
        <v>0</v>
      </c>
    </row>
    <row r="29" spans="1:11" ht="15.75">
      <c r="A29" s="604" t="s">
        <v>191</v>
      </c>
      <c r="B29" s="604" t="str">
        <f t="shared" si="3"/>
        <v>Year 2018</v>
      </c>
      <c r="C29" s="604"/>
      <c r="D29" s="628">
        <f t="shared" si="4"/>
        <v>0</v>
      </c>
      <c r="E29" s="628"/>
      <c r="F29" s="629">
        <f t="shared" si="5"/>
        <v>4.0949999999999997E-3</v>
      </c>
      <c r="G29" s="604">
        <f t="shared" si="0"/>
        <v>6</v>
      </c>
      <c r="H29" s="628">
        <f t="shared" si="1"/>
        <v>0</v>
      </c>
      <c r="I29" s="628"/>
      <c r="J29" s="628"/>
      <c r="K29" s="628">
        <f t="shared" si="2"/>
        <v>0</v>
      </c>
    </row>
    <row r="30" spans="1:11" ht="15.75">
      <c r="A30" s="604" t="s">
        <v>192</v>
      </c>
      <c r="B30" s="604" t="str">
        <f t="shared" si="3"/>
        <v>Year 2018</v>
      </c>
      <c r="C30" s="604"/>
      <c r="D30" s="628">
        <f t="shared" si="4"/>
        <v>0</v>
      </c>
      <c r="E30" s="628"/>
      <c r="F30" s="629">
        <f t="shared" si="5"/>
        <v>4.0949999999999997E-3</v>
      </c>
      <c r="G30" s="604">
        <f t="shared" si="0"/>
        <v>5</v>
      </c>
      <c r="H30" s="628">
        <f t="shared" si="1"/>
        <v>0</v>
      </c>
      <c r="I30" s="628"/>
      <c r="J30" s="628"/>
      <c r="K30" s="628">
        <f t="shared" si="2"/>
        <v>0</v>
      </c>
    </row>
    <row r="31" spans="1:11" ht="15.75">
      <c r="A31" s="604" t="s">
        <v>194</v>
      </c>
      <c r="B31" s="604" t="str">
        <f t="shared" si="3"/>
        <v>Year 2018</v>
      </c>
      <c r="C31" s="604"/>
      <c r="D31" s="628">
        <f t="shared" si="4"/>
        <v>0</v>
      </c>
      <c r="E31" s="628"/>
      <c r="F31" s="629">
        <f t="shared" si="5"/>
        <v>4.0949999999999997E-3</v>
      </c>
      <c r="G31" s="604">
        <f t="shared" si="0"/>
        <v>4</v>
      </c>
      <c r="H31" s="628">
        <f t="shared" si="1"/>
        <v>0</v>
      </c>
      <c r="I31" s="628"/>
      <c r="J31" s="628"/>
      <c r="K31" s="628">
        <f t="shared" si="2"/>
        <v>0</v>
      </c>
    </row>
    <row r="32" spans="1:11" ht="15.75">
      <c r="A32" s="604" t="s">
        <v>562</v>
      </c>
      <c r="B32" s="604" t="str">
        <f t="shared" si="3"/>
        <v>Year 2018</v>
      </c>
      <c r="C32" s="604"/>
      <c r="D32" s="628">
        <f t="shared" si="4"/>
        <v>0</v>
      </c>
      <c r="E32" s="628"/>
      <c r="F32" s="629">
        <f t="shared" si="5"/>
        <v>4.0949999999999997E-3</v>
      </c>
      <c r="G32" s="604">
        <f t="shared" si="0"/>
        <v>3</v>
      </c>
      <c r="H32" s="628">
        <f t="shared" si="1"/>
        <v>0</v>
      </c>
      <c r="I32" s="628"/>
      <c r="J32" s="628"/>
      <c r="K32" s="628">
        <f t="shared" si="2"/>
        <v>0</v>
      </c>
    </row>
    <row r="33" spans="1:11" ht="15.75">
      <c r="A33" s="604" t="s">
        <v>563</v>
      </c>
      <c r="B33" s="604" t="str">
        <f t="shared" si="3"/>
        <v>Year 2018</v>
      </c>
      <c r="C33" s="604"/>
      <c r="D33" s="628">
        <f t="shared" si="4"/>
        <v>0</v>
      </c>
      <c r="E33" s="628"/>
      <c r="F33" s="629">
        <f t="shared" si="5"/>
        <v>4.0949999999999997E-3</v>
      </c>
      <c r="G33" s="604">
        <f t="shared" si="0"/>
        <v>2</v>
      </c>
      <c r="H33" s="628">
        <f t="shared" si="1"/>
        <v>0</v>
      </c>
      <c r="I33" s="628"/>
      <c r="J33" s="628"/>
      <c r="K33" s="628">
        <f t="shared" si="2"/>
        <v>0</v>
      </c>
    </row>
    <row r="34" spans="1:11" ht="15.75">
      <c r="A34" s="604" t="s">
        <v>193</v>
      </c>
      <c r="B34" s="604" t="str">
        <f t="shared" si="3"/>
        <v>Year 2018</v>
      </c>
      <c r="C34" s="604"/>
      <c r="D34" s="628">
        <f t="shared" si="4"/>
        <v>0</v>
      </c>
      <c r="E34" s="628"/>
      <c r="F34" s="629">
        <f t="shared" si="5"/>
        <v>4.0949999999999997E-3</v>
      </c>
      <c r="G34" s="604">
        <f t="shared" si="0"/>
        <v>1</v>
      </c>
      <c r="H34" s="630">
        <f t="shared" si="1"/>
        <v>0</v>
      </c>
      <c r="I34" s="628"/>
      <c r="J34" s="628"/>
      <c r="K34" s="628">
        <f t="shared" si="2"/>
        <v>0</v>
      </c>
    </row>
    <row r="35" spans="1:11" ht="15.75">
      <c r="A35" s="604"/>
      <c r="B35" s="604"/>
      <c r="C35" s="604"/>
      <c r="D35" s="628"/>
      <c r="E35" s="628"/>
      <c r="F35" s="629"/>
      <c r="G35" s="604"/>
      <c r="H35" s="628">
        <f>SUM(H23:H34)</f>
        <v>0</v>
      </c>
      <c r="I35" s="628"/>
      <c r="J35" s="628"/>
      <c r="K35" s="631">
        <f>SUM(K23:K34)</f>
        <v>0</v>
      </c>
    </row>
    <row r="36" spans="1:11" ht="15.75">
      <c r="A36" s="604"/>
      <c r="B36" s="604"/>
      <c r="C36" s="604"/>
      <c r="D36" s="628"/>
      <c r="E36" s="628"/>
      <c r="F36" s="629"/>
      <c r="G36" s="604"/>
      <c r="H36" s="628"/>
      <c r="I36" s="628" t="s">
        <v>116</v>
      </c>
      <c r="J36" s="628"/>
      <c r="K36" s="2"/>
    </row>
    <row r="37" spans="1:11" ht="15.75">
      <c r="A37" s="604"/>
      <c r="B37" s="604"/>
      <c r="C37" s="604"/>
      <c r="D37" s="614"/>
      <c r="E37" s="614"/>
      <c r="F37" s="629"/>
      <c r="G37" s="604"/>
      <c r="H37" s="632" t="s">
        <v>564</v>
      </c>
      <c r="I37" s="628"/>
      <c r="J37" s="628"/>
      <c r="K37" s="628"/>
    </row>
    <row r="38" spans="1:11" ht="15.75">
      <c r="A38" s="604" t="s">
        <v>565</v>
      </c>
      <c r="B38" s="604" t="str">
        <f>"Year 2019"</f>
        <v>Year 2019</v>
      </c>
      <c r="C38" s="604"/>
      <c r="D38" s="614">
        <f>K35</f>
        <v>0</v>
      </c>
      <c r="E38" s="614"/>
      <c r="F38" s="629">
        <f>+F34</f>
        <v>4.0949999999999997E-3</v>
      </c>
      <c r="G38" s="604">
        <v>12</v>
      </c>
      <c r="H38" s="628">
        <f>+G38*F38*D38</f>
        <v>0</v>
      </c>
      <c r="I38" s="628"/>
      <c r="J38" s="628"/>
      <c r="K38" s="631">
        <f>+D38+H38</f>
        <v>0</v>
      </c>
    </row>
    <row r="39" spans="1:11" ht="15.75">
      <c r="A39" s="604"/>
      <c r="B39" s="604"/>
      <c r="C39" s="604"/>
      <c r="D39" s="614"/>
      <c r="E39" s="614"/>
      <c r="F39" s="629"/>
      <c r="G39" s="604"/>
      <c r="H39" s="628"/>
      <c r="I39" s="628"/>
      <c r="J39" s="628"/>
      <c r="K39" s="628"/>
    </row>
    <row r="40" spans="1:11" ht="15.75">
      <c r="A40" s="633" t="s">
        <v>566</v>
      </c>
      <c r="B40" s="604"/>
      <c r="C40" s="604"/>
      <c r="D40" s="628"/>
      <c r="E40" s="628"/>
      <c r="F40" s="629"/>
      <c r="G40" s="604"/>
      <c r="H40" s="632" t="s">
        <v>560</v>
      </c>
      <c r="I40" s="628"/>
      <c r="J40" s="628"/>
      <c r="K40" s="628"/>
    </row>
    <row r="41" spans="1:11" ht="15.75">
      <c r="A41" s="604" t="s">
        <v>187</v>
      </c>
      <c r="B41" s="604" t="str">
        <f>"Year 2020"</f>
        <v>Year 2020</v>
      </c>
      <c r="C41" s="604"/>
      <c r="D41" s="634">
        <f>-K38</f>
        <v>0</v>
      </c>
      <c r="E41" s="614"/>
      <c r="F41" s="629">
        <f>+F34</f>
        <v>4.0949999999999997E-3</v>
      </c>
      <c r="G41" s="604"/>
      <c r="H41" s="628">
        <f xml:space="preserve"> -F41*D41</f>
        <v>0</v>
      </c>
      <c r="I41" s="628">
        <f>PMT(F41,12,K$38)</f>
        <v>0</v>
      </c>
      <c r="J41" s="628"/>
      <c r="K41" s="628">
        <f>(+D41+D41*F41-I41)*-1</f>
        <v>0</v>
      </c>
    </row>
    <row r="42" spans="1:11" ht="15.75">
      <c r="A42" s="604" t="s">
        <v>561</v>
      </c>
      <c r="B42" s="604" t="str">
        <f>+B41</f>
        <v>Year 2020</v>
      </c>
      <c r="C42" s="604"/>
      <c r="D42" s="614">
        <f>-K41</f>
        <v>0</v>
      </c>
      <c r="E42" s="614"/>
      <c r="F42" s="629">
        <f>+F41</f>
        <v>4.0949999999999997E-3</v>
      </c>
      <c r="G42" s="604"/>
      <c r="H42" s="628">
        <f xml:space="preserve"> -F42*D42</f>
        <v>0</v>
      </c>
      <c r="I42" s="628">
        <f>I41</f>
        <v>0</v>
      </c>
      <c r="J42" s="628"/>
      <c r="K42" s="628">
        <f t="shared" ref="K42:K52" si="6">(+D42+D42*F42-I42)*-1</f>
        <v>0</v>
      </c>
    </row>
    <row r="43" spans="1:11" ht="15.75">
      <c r="A43" s="604" t="s">
        <v>188</v>
      </c>
      <c r="B43" s="604" t="str">
        <f>+B42</f>
        <v>Year 2020</v>
      </c>
      <c r="C43" s="604"/>
      <c r="D43" s="614">
        <f t="shared" ref="D43:D52" si="7">-K42</f>
        <v>0</v>
      </c>
      <c r="E43" s="614"/>
      <c r="F43" s="629">
        <f t="shared" ref="F43:F52" si="8">+F42</f>
        <v>4.0949999999999997E-3</v>
      </c>
      <c r="G43" s="604"/>
      <c r="H43" s="628">
        <f t="shared" ref="H43:H52" si="9" xml:space="preserve"> -F43*D43</f>
        <v>0</v>
      </c>
      <c r="I43" s="628">
        <f t="shared" ref="I43:I52" si="10">I42</f>
        <v>0</v>
      </c>
      <c r="J43" s="628"/>
      <c r="K43" s="628">
        <f t="shared" si="6"/>
        <v>0</v>
      </c>
    </row>
    <row r="44" spans="1:11" ht="15.75">
      <c r="A44" s="604" t="s">
        <v>189</v>
      </c>
      <c r="B44" s="604" t="str">
        <f>+B43</f>
        <v>Year 2020</v>
      </c>
      <c r="C44" s="604"/>
      <c r="D44" s="614">
        <f t="shared" si="7"/>
        <v>0</v>
      </c>
      <c r="E44" s="614"/>
      <c r="F44" s="629">
        <f t="shared" si="8"/>
        <v>4.0949999999999997E-3</v>
      </c>
      <c r="G44" s="604"/>
      <c r="H44" s="628">
        <f t="shared" si="9"/>
        <v>0</v>
      </c>
      <c r="I44" s="628">
        <f t="shared" si="10"/>
        <v>0</v>
      </c>
      <c r="J44" s="628"/>
      <c r="K44" s="628">
        <f t="shared" si="6"/>
        <v>0</v>
      </c>
    </row>
    <row r="45" spans="1:11" ht="15.75">
      <c r="A45" s="604" t="s">
        <v>190</v>
      </c>
      <c r="B45" s="604" t="str">
        <f>+B44</f>
        <v>Year 2020</v>
      </c>
      <c r="C45" s="604"/>
      <c r="D45" s="614">
        <f t="shared" si="7"/>
        <v>0</v>
      </c>
      <c r="E45" s="614"/>
      <c r="F45" s="629">
        <f t="shared" si="8"/>
        <v>4.0949999999999997E-3</v>
      </c>
      <c r="G45" s="604"/>
      <c r="H45" s="628">
        <f t="shared" si="9"/>
        <v>0</v>
      </c>
      <c r="I45" s="628">
        <f>I44</f>
        <v>0</v>
      </c>
      <c r="J45" s="628"/>
      <c r="K45" s="628">
        <f t="shared" si="6"/>
        <v>0</v>
      </c>
    </row>
    <row r="46" spans="1:11" ht="15.75">
      <c r="A46" s="604" t="s">
        <v>384</v>
      </c>
      <c r="B46" s="604" t="str">
        <f>B45</f>
        <v>Year 2020</v>
      </c>
      <c r="C46" s="2"/>
      <c r="D46" s="614">
        <f t="shared" si="7"/>
        <v>0</v>
      </c>
      <c r="E46" s="614"/>
      <c r="F46" s="629">
        <f t="shared" si="8"/>
        <v>4.0949999999999997E-3</v>
      </c>
      <c r="G46" s="604"/>
      <c r="H46" s="628">
        <f t="shared" si="9"/>
        <v>0</v>
      </c>
      <c r="I46" s="628">
        <f t="shared" si="10"/>
        <v>0</v>
      </c>
      <c r="J46" s="628"/>
      <c r="K46" s="628">
        <f t="shared" si="6"/>
        <v>0</v>
      </c>
    </row>
    <row r="47" spans="1:11" ht="15.75">
      <c r="A47" s="604" t="s">
        <v>191</v>
      </c>
      <c r="B47" s="604" t="str">
        <f t="shared" ref="B47:B52" si="11">+B46</f>
        <v>Year 2020</v>
      </c>
      <c r="C47" s="604"/>
      <c r="D47" s="614">
        <f t="shared" si="7"/>
        <v>0</v>
      </c>
      <c r="E47" s="614"/>
      <c r="F47" s="629">
        <f t="shared" si="8"/>
        <v>4.0949999999999997E-3</v>
      </c>
      <c r="G47" s="604"/>
      <c r="H47" s="628">
        <f t="shared" si="9"/>
        <v>0</v>
      </c>
      <c r="I47" s="628">
        <f t="shared" si="10"/>
        <v>0</v>
      </c>
      <c r="J47" s="628"/>
      <c r="K47" s="628">
        <f t="shared" si="6"/>
        <v>0</v>
      </c>
    </row>
    <row r="48" spans="1:11" ht="15.75">
      <c r="A48" s="604" t="s">
        <v>192</v>
      </c>
      <c r="B48" s="604" t="str">
        <f t="shared" si="11"/>
        <v>Year 2020</v>
      </c>
      <c r="C48" s="604"/>
      <c r="D48" s="614">
        <f t="shared" si="7"/>
        <v>0</v>
      </c>
      <c r="E48" s="614"/>
      <c r="F48" s="629">
        <f t="shared" si="8"/>
        <v>4.0949999999999997E-3</v>
      </c>
      <c r="G48" s="604"/>
      <c r="H48" s="628">
        <f t="shared" si="9"/>
        <v>0</v>
      </c>
      <c r="I48" s="628">
        <f t="shared" si="10"/>
        <v>0</v>
      </c>
      <c r="J48" s="628"/>
      <c r="K48" s="628">
        <f t="shared" si="6"/>
        <v>0</v>
      </c>
    </row>
    <row r="49" spans="1:11" ht="15.75">
      <c r="A49" s="604" t="s">
        <v>194</v>
      </c>
      <c r="B49" s="604" t="str">
        <f t="shared" si="11"/>
        <v>Year 2020</v>
      </c>
      <c r="C49" s="604"/>
      <c r="D49" s="614">
        <f t="shared" si="7"/>
        <v>0</v>
      </c>
      <c r="E49" s="614"/>
      <c r="F49" s="629">
        <f t="shared" si="8"/>
        <v>4.0949999999999997E-3</v>
      </c>
      <c r="G49" s="604"/>
      <c r="H49" s="628">
        <f t="shared" si="9"/>
        <v>0</v>
      </c>
      <c r="I49" s="628">
        <f>I48</f>
        <v>0</v>
      </c>
      <c r="J49" s="628"/>
      <c r="K49" s="628">
        <f t="shared" si="6"/>
        <v>0</v>
      </c>
    </row>
    <row r="50" spans="1:11" ht="15.75">
      <c r="A50" s="604" t="s">
        <v>562</v>
      </c>
      <c r="B50" s="604" t="str">
        <f t="shared" si="11"/>
        <v>Year 2020</v>
      </c>
      <c r="C50" s="604"/>
      <c r="D50" s="614">
        <f t="shared" si="7"/>
        <v>0</v>
      </c>
      <c r="E50" s="614"/>
      <c r="F50" s="629">
        <f t="shared" si="8"/>
        <v>4.0949999999999997E-3</v>
      </c>
      <c r="G50" s="604"/>
      <c r="H50" s="628">
        <f t="shared" si="9"/>
        <v>0</v>
      </c>
      <c r="I50" s="628">
        <f t="shared" si="10"/>
        <v>0</v>
      </c>
      <c r="J50" s="628"/>
      <c r="K50" s="628">
        <f t="shared" si="6"/>
        <v>0</v>
      </c>
    </row>
    <row r="51" spans="1:11" ht="15.75">
      <c r="A51" s="604" t="s">
        <v>563</v>
      </c>
      <c r="B51" s="604" t="str">
        <f t="shared" si="11"/>
        <v>Year 2020</v>
      </c>
      <c r="C51" s="604"/>
      <c r="D51" s="614">
        <f t="shared" si="7"/>
        <v>0</v>
      </c>
      <c r="E51" s="614"/>
      <c r="F51" s="629">
        <f t="shared" si="8"/>
        <v>4.0949999999999997E-3</v>
      </c>
      <c r="G51" s="604"/>
      <c r="H51" s="628">
        <f t="shared" si="9"/>
        <v>0</v>
      </c>
      <c r="I51" s="628">
        <f t="shared" si="10"/>
        <v>0</v>
      </c>
      <c r="J51" s="628"/>
      <c r="K51" s="628">
        <f t="shared" si="6"/>
        <v>0</v>
      </c>
    </row>
    <row r="52" spans="1:11" ht="15.75">
      <c r="A52" s="604" t="s">
        <v>193</v>
      </c>
      <c r="B52" s="604" t="str">
        <f t="shared" si="11"/>
        <v>Year 2020</v>
      </c>
      <c r="C52" s="604"/>
      <c r="D52" s="614">
        <f t="shared" si="7"/>
        <v>0</v>
      </c>
      <c r="E52" s="614"/>
      <c r="F52" s="629">
        <f t="shared" si="8"/>
        <v>4.0949999999999997E-3</v>
      </c>
      <c r="G52" s="604"/>
      <c r="H52" s="630">
        <f t="shared" si="9"/>
        <v>0</v>
      </c>
      <c r="I52" s="628">
        <f t="shared" si="10"/>
        <v>0</v>
      </c>
      <c r="J52" s="628"/>
      <c r="K52" s="628">
        <f t="shared" si="6"/>
        <v>0</v>
      </c>
    </row>
    <row r="53" spans="1:11" ht="15.75">
      <c r="A53" s="604"/>
      <c r="B53" s="604"/>
      <c r="C53" s="604"/>
      <c r="D53" s="614"/>
      <c r="E53" s="614"/>
      <c r="F53" s="629"/>
      <c r="G53" s="604"/>
      <c r="H53" s="628">
        <f>SUM(H41:H52)</f>
        <v>0</v>
      </c>
      <c r="I53" s="628"/>
      <c r="J53" s="628"/>
      <c r="K53" s="628"/>
    </row>
    <row r="54" spans="1:11" ht="15">
      <c r="A54" s="2"/>
      <c r="B54" s="2"/>
      <c r="C54" s="2"/>
      <c r="D54" s="2"/>
      <c r="E54" s="2"/>
      <c r="F54" s="2"/>
      <c r="G54" s="2"/>
      <c r="H54" s="2"/>
      <c r="I54" s="635"/>
      <c r="J54" s="2"/>
      <c r="K54" s="2"/>
    </row>
    <row r="55" spans="1:11" ht="15.75">
      <c r="A55" s="604" t="s">
        <v>571</v>
      </c>
      <c r="B55" s="2"/>
      <c r="C55" s="2"/>
      <c r="D55" s="2"/>
      <c r="E55" s="2"/>
      <c r="F55" s="2"/>
      <c r="G55" s="2"/>
      <c r="H55" s="2"/>
      <c r="I55" s="636">
        <f>(SUM(I41:I52)*-1)</f>
        <v>0</v>
      </c>
      <c r="J55" s="2"/>
      <c r="K55" s="2"/>
    </row>
    <row r="56" spans="1:11" ht="15.75">
      <c r="A56" s="604" t="s">
        <v>567</v>
      </c>
      <c r="B56" s="2"/>
      <c r="C56" s="2"/>
      <c r="D56" s="2"/>
      <c r="E56" s="2"/>
      <c r="F56" s="2"/>
      <c r="G56" s="2"/>
      <c r="H56" s="2"/>
      <c r="I56" s="637">
        <f>+H12</f>
        <v>0</v>
      </c>
      <c r="J56" s="2"/>
      <c r="K56" s="2"/>
    </row>
    <row r="57" spans="1:11" ht="15.75">
      <c r="A57" s="604" t="s">
        <v>568</v>
      </c>
      <c r="B57" s="2"/>
      <c r="C57" s="2"/>
      <c r="D57" s="2"/>
      <c r="E57" s="2"/>
      <c r="F57" s="2"/>
      <c r="G57" s="2"/>
      <c r="H57" s="2"/>
      <c r="I57" s="636">
        <f>(I55+I56)</f>
        <v>0</v>
      </c>
      <c r="J57" s="2"/>
      <c r="K57" s="2"/>
    </row>
    <row r="59" spans="1:11" ht="78.75" customHeight="1">
      <c r="A59" s="1302" t="s">
        <v>572</v>
      </c>
      <c r="B59" s="1302"/>
      <c r="C59" s="1302"/>
      <c r="D59" s="1302"/>
      <c r="E59" s="143"/>
      <c r="F59" s="143"/>
      <c r="G59" s="143"/>
      <c r="H59" s="143"/>
      <c r="I59" s="143"/>
      <c r="J59" s="143"/>
      <c r="K59" s="143"/>
    </row>
    <row r="60" spans="1:11" ht="13.5">
      <c r="A60" s="638"/>
      <c r="F60" s="639"/>
      <c r="I60" s="640"/>
    </row>
    <row r="61" spans="1:11" ht="15.75">
      <c r="A61" s="641"/>
      <c r="B61" s="642"/>
      <c r="C61" s="642"/>
      <c r="D61" s="642"/>
      <c r="E61" s="642"/>
      <c r="F61" s="642"/>
      <c r="G61" s="642"/>
      <c r="H61" s="642"/>
      <c r="I61" s="643"/>
      <c r="J61" s="642"/>
      <c r="K61" s="642"/>
    </row>
  </sheetData>
  <mergeCells count="5">
    <mergeCell ref="A3:K3"/>
    <mergeCell ref="A4:K4"/>
    <mergeCell ref="A5:K5"/>
    <mergeCell ref="D6:G6"/>
    <mergeCell ref="A59:D59"/>
  </mergeCells>
  <pageMargins left="0.7" right="0.7" top="0.75" bottom="0.75" header="0.3" footer="0.3"/>
  <pageSetup scale="5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K61"/>
  <sheetViews>
    <sheetView tabSelected="1" view="pageBreakPreview" zoomScale="60" zoomScaleNormal="100" workbookViewId="0">
      <selection activeCell="D9" sqref="D9"/>
    </sheetView>
  </sheetViews>
  <sheetFormatPr defaultColWidth="8.85546875" defaultRowHeight="12.75"/>
  <cols>
    <col min="1" max="1" width="33.42578125" customWidth="1"/>
    <col min="2" max="2" width="10.42578125" customWidth="1"/>
    <col min="3" max="3" width="3.42578125" customWidth="1"/>
    <col min="4" max="4" width="25.85546875" customWidth="1"/>
    <col min="5" max="5" width="4.5703125" customWidth="1"/>
    <col min="6" max="6" width="15.5703125" customWidth="1"/>
    <col min="8" max="8" width="21" customWidth="1"/>
    <col min="9" max="9" width="18.140625" customWidth="1"/>
    <col min="11" max="11" width="18.140625" customWidth="1"/>
  </cols>
  <sheetData>
    <row r="1" spans="1:11" ht="15.75">
      <c r="A1" s="693" t="s">
        <v>116</v>
      </c>
    </row>
    <row r="2" spans="1:11" ht="15.75">
      <c r="A2" s="693" t="s">
        <v>116</v>
      </c>
    </row>
    <row r="3" spans="1:11" ht="15.75">
      <c r="A3" s="1300" t="s">
        <v>389</v>
      </c>
      <c r="B3" s="1300"/>
      <c r="C3" s="1300"/>
      <c r="D3" s="1300"/>
      <c r="E3" s="1300"/>
      <c r="F3" s="1300"/>
      <c r="G3" s="1300"/>
      <c r="H3" s="1300"/>
      <c r="I3" s="1300"/>
      <c r="J3" s="1300"/>
      <c r="K3" s="1300"/>
    </row>
    <row r="4" spans="1:11" ht="15.75">
      <c r="A4" s="1301" t="s">
        <v>569</v>
      </c>
      <c r="B4" s="1301"/>
      <c r="C4" s="1301"/>
      <c r="D4" s="1301"/>
      <c r="E4" s="1301"/>
      <c r="F4" s="1301"/>
      <c r="G4" s="1301"/>
      <c r="H4" s="1301"/>
      <c r="I4" s="1301"/>
      <c r="J4" s="1301"/>
      <c r="K4" s="1301"/>
    </row>
    <row r="5" spans="1:11" ht="15.75">
      <c r="A5" s="1301" t="s">
        <v>570</v>
      </c>
      <c r="B5" s="1301"/>
      <c r="C5" s="1301"/>
      <c r="D5" s="1301"/>
      <c r="E5" s="1301"/>
      <c r="F5" s="1301"/>
      <c r="G5" s="1301"/>
      <c r="H5" s="1301"/>
      <c r="I5" s="1301"/>
      <c r="J5" s="1301"/>
      <c r="K5" s="1301"/>
    </row>
    <row r="6" spans="1:11" ht="15.75">
      <c r="A6" s="2"/>
      <c r="B6" s="2"/>
      <c r="C6" s="2"/>
      <c r="D6" s="1301"/>
      <c r="E6" s="1301"/>
      <c r="F6" s="1301"/>
      <c r="G6" s="1301"/>
      <c r="H6" s="2"/>
      <c r="I6" s="2"/>
      <c r="J6" s="2"/>
      <c r="K6" s="2"/>
    </row>
    <row r="9" spans="1:11" ht="16.5" thickBot="1">
      <c r="A9" s="603"/>
      <c r="B9" s="604"/>
      <c r="C9" s="604"/>
      <c r="D9" s="604"/>
      <c r="E9" s="604"/>
      <c r="F9" s="604"/>
      <c r="G9" s="604"/>
      <c r="H9" s="604"/>
      <c r="I9" s="604"/>
      <c r="J9" s="604"/>
      <c r="K9" s="604"/>
    </row>
    <row r="10" spans="1:11" ht="47.25">
      <c r="A10" s="605" t="str">
        <f>"Reconciliation Revenue Requirement For Year 2018 Available May 25, 2019"</f>
        <v>Reconciliation Revenue Requirement For Year 2018 Available May 25, 2019</v>
      </c>
      <c r="B10" s="604"/>
      <c r="C10" s="604"/>
      <c r="D10" s="605" t="s">
        <v>1038</v>
      </c>
      <c r="E10" s="604"/>
      <c r="F10" s="604"/>
      <c r="G10" s="2"/>
      <c r="H10" s="605" t="s">
        <v>550</v>
      </c>
      <c r="I10" s="2"/>
      <c r="J10" s="2"/>
      <c r="K10" s="2"/>
    </row>
    <row r="11" spans="1:11" ht="15.75">
      <c r="A11" s="606" t="s">
        <v>116</v>
      </c>
      <c r="B11" s="604"/>
      <c r="C11" s="604"/>
      <c r="D11" s="606"/>
      <c r="E11" s="604"/>
      <c r="F11" s="604"/>
      <c r="G11" s="2"/>
      <c r="H11" s="607"/>
      <c r="I11" s="2"/>
      <c r="J11" s="2"/>
      <c r="K11" s="2"/>
    </row>
    <row r="12" spans="1:11" ht="16.5" thickBot="1">
      <c r="A12" s="685">
        <v>0</v>
      </c>
      <c r="B12" s="608" t="str">
        <f>"-"</f>
        <v>-</v>
      </c>
      <c r="C12" s="609"/>
      <c r="D12" s="685">
        <v>0</v>
      </c>
      <c r="E12" s="610"/>
      <c r="F12" s="611" t="str">
        <f>"="</f>
        <v>=</v>
      </c>
      <c r="G12" s="612"/>
      <c r="H12" s="613">
        <f>IF(A12=0,0,D12-A12)</f>
        <v>0</v>
      </c>
      <c r="I12" s="2"/>
      <c r="J12" s="2"/>
      <c r="K12" s="2"/>
    </row>
    <row r="13" spans="1:11" ht="15.75">
      <c r="A13" s="614"/>
      <c r="B13" s="615"/>
      <c r="C13" s="615"/>
      <c r="D13" s="614"/>
      <c r="E13" s="614"/>
      <c r="F13" s="615"/>
      <c r="G13" s="614"/>
      <c r="H13" s="2"/>
      <c r="I13" s="2"/>
      <c r="J13" s="2"/>
      <c r="K13" s="2"/>
    </row>
    <row r="14" spans="1:11" ht="16.5" thickBot="1">
      <c r="A14" s="616"/>
      <c r="B14" s="617"/>
      <c r="C14" s="617"/>
      <c r="D14" s="616"/>
      <c r="E14" s="616"/>
      <c r="F14" s="617"/>
      <c r="G14" s="616"/>
      <c r="H14" s="618"/>
      <c r="I14" s="618"/>
      <c r="J14" s="618"/>
      <c r="K14" s="618"/>
    </row>
    <row r="15" spans="1:11" ht="15.75">
      <c r="A15" s="619"/>
      <c r="B15" s="615"/>
      <c r="C15" s="615"/>
      <c r="D15" s="614"/>
      <c r="E15" s="614"/>
      <c r="F15" s="615"/>
      <c r="G15" s="614"/>
      <c r="H15" s="2"/>
      <c r="I15" s="2"/>
      <c r="J15" s="2"/>
      <c r="K15" s="2"/>
    </row>
    <row r="16" spans="1:11" ht="47.25">
      <c r="A16" s="620" t="s">
        <v>551</v>
      </c>
      <c r="B16" s="615"/>
      <c r="C16" s="615"/>
      <c r="D16" s="621" t="s">
        <v>552</v>
      </c>
      <c r="E16" s="614"/>
      <c r="F16" s="621" t="s">
        <v>553</v>
      </c>
      <c r="G16" s="622" t="s">
        <v>554</v>
      </c>
      <c r="H16" s="623" t="s">
        <v>555</v>
      </c>
      <c r="I16" s="621" t="s">
        <v>556</v>
      </c>
      <c r="J16" s="624"/>
      <c r="K16" s="621" t="s">
        <v>557</v>
      </c>
    </row>
    <row r="17" spans="1:11" ht="15.75">
      <c r="A17" s="620" t="s">
        <v>558</v>
      </c>
      <c r="B17" s="615"/>
      <c r="C17" s="615"/>
      <c r="D17" s="2"/>
      <c r="E17" s="625"/>
      <c r="F17" s="686">
        <f>'KPCO WS Q Interest'!F17</f>
        <v>4.0949999999999997E-3</v>
      </c>
      <c r="H17" s="2"/>
      <c r="I17" s="2"/>
      <c r="J17" s="2"/>
      <c r="K17" s="2"/>
    </row>
    <row r="18" spans="1:11" ht="15.75">
      <c r="A18" s="620"/>
      <c r="B18" s="615"/>
      <c r="C18" s="615"/>
      <c r="D18" s="2"/>
      <c r="E18" s="625"/>
      <c r="F18" s="625"/>
      <c r="G18" s="614"/>
      <c r="H18" s="2"/>
      <c r="I18" s="2"/>
      <c r="J18" s="2"/>
      <c r="K18" s="2"/>
    </row>
    <row r="19" spans="1:11" ht="15.75">
      <c r="A19" s="620" t="s">
        <v>1039</v>
      </c>
      <c r="B19" s="615"/>
      <c r="C19" s="615"/>
      <c r="D19" s="2"/>
      <c r="E19" s="625"/>
      <c r="F19" s="625"/>
      <c r="G19" s="614"/>
      <c r="H19" s="2"/>
      <c r="I19" s="2"/>
      <c r="J19" s="2"/>
      <c r="K19" s="2"/>
    </row>
    <row r="20" spans="1:11" ht="15.75">
      <c r="A20" s="626" t="s">
        <v>116</v>
      </c>
      <c r="B20" s="615"/>
      <c r="C20" s="615"/>
      <c r="D20" s="615"/>
      <c r="E20" s="615"/>
      <c r="F20" s="615" t="s">
        <v>116</v>
      </c>
      <c r="G20" s="2"/>
      <c r="H20" s="2"/>
      <c r="I20" s="2"/>
      <c r="J20" s="2"/>
      <c r="K20" s="2"/>
    </row>
    <row r="21" spans="1:11" ht="15.75">
      <c r="A21" s="627"/>
      <c r="B21" s="615"/>
      <c r="C21" s="615"/>
      <c r="D21" s="615"/>
      <c r="E21" s="615"/>
      <c r="F21" s="2"/>
      <c r="G21" s="2"/>
      <c r="H21" s="622"/>
      <c r="I21" s="615"/>
      <c r="J21" s="615"/>
      <c r="K21" s="615"/>
    </row>
    <row r="22" spans="1:11" ht="15.75">
      <c r="A22" s="627" t="s">
        <v>559</v>
      </c>
      <c r="B22" s="615"/>
      <c r="C22" s="615"/>
      <c r="D22" s="615"/>
      <c r="E22" s="615"/>
      <c r="F22" s="2"/>
      <c r="G22" s="2"/>
      <c r="H22" s="622" t="s">
        <v>560</v>
      </c>
      <c r="I22" s="615"/>
      <c r="J22" s="615"/>
      <c r="K22" s="615"/>
    </row>
    <row r="23" spans="1:11" ht="15.75">
      <c r="A23" s="604" t="s">
        <v>187</v>
      </c>
      <c r="B23" s="604" t="str">
        <f>"Year 2018"</f>
        <v>Year 2018</v>
      </c>
      <c r="C23" s="604"/>
      <c r="D23" s="628">
        <f>H12/12</f>
        <v>0</v>
      </c>
      <c r="E23" s="628"/>
      <c r="F23" s="629">
        <f>+F17</f>
        <v>4.0949999999999997E-3</v>
      </c>
      <c r="G23" s="604">
        <v>12</v>
      </c>
      <c r="H23" s="628">
        <f>F23*D23*G23*-1</f>
        <v>0</v>
      </c>
      <c r="I23" s="628"/>
      <c r="J23" s="628"/>
      <c r="K23" s="628">
        <f>(-H23+D23)*-1</f>
        <v>0</v>
      </c>
    </row>
    <row r="24" spans="1:11" ht="15.75">
      <c r="A24" s="604" t="s">
        <v>561</v>
      </c>
      <c r="B24" s="604" t="str">
        <f>B23</f>
        <v>Year 2018</v>
      </c>
      <c r="C24" s="604"/>
      <c r="D24" s="628">
        <f>+D23</f>
        <v>0</v>
      </c>
      <c r="E24" s="628"/>
      <c r="F24" s="629">
        <f>+F23</f>
        <v>4.0949999999999997E-3</v>
      </c>
      <c r="G24" s="604">
        <f t="shared" ref="G24:G34" si="0">+G23-1</f>
        <v>11</v>
      </c>
      <c r="H24" s="628">
        <f t="shared" ref="H24:H34" si="1">F24*D24*G24*-1</f>
        <v>0</v>
      </c>
      <c r="I24" s="628"/>
      <c r="J24" s="628"/>
      <c r="K24" s="628">
        <f t="shared" ref="K24:K34" si="2">(-H24+D24)*-1</f>
        <v>0</v>
      </c>
    </row>
    <row r="25" spans="1:11" ht="15.75">
      <c r="A25" s="604" t="s">
        <v>188</v>
      </c>
      <c r="B25" s="604" t="str">
        <f t="shared" ref="B25:B34" si="3">B24</f>
        <v>Year 2018</v>
      </c>
      <c r="C25" s="604"/>
      <c r="D25" s="628">
        <f t="shared" ref="D25:D34" si="4">+D24</f>
        <v>0</v>
      </c>
      <c r="E25" s="628"/>
      <c r="F25" s="629">
        <f t="shared" ref="F25:F34" si="5">+F24</f>
        <v>4.0949999999999997E-3</v>
      </c>
      <c r="G25" s="604">
        <f t="shared" si="0"/>
        <v>10</v>
      </c>
      <c r="H25" s="628">
        <f t="shared" si="1"/>
        <v>0</v>
      </c>
      <c r="I25" s="628"/>
      <c r="J25" s="628"/>
      <c r="K25" s="628">
        <f t="shared" si="2"/>
        <v>0</v>
      </c>
    </row>
    <row r="26" spans="1:11" ht="15.75">
      <c r="A26" s="604" t="s">
        <v>189</v>
      </c>
      <c r="B26" s="604" t="str">
        <f t="shared" si="3"/>
        <v>Year 2018</v>
      </c>
      <c r="C26" s="604"/>
      <c r="D26" s="628">
        <f t="shared" si="4"/>
        <v>0</v>
      </c>
      <c r="E26" s="628"/>
      <c r="F26" s="629">
        <f t="shared" si="5"/>
        <v>4.0949999999999997E-3</v>
      </c>
      <c r="G26" s="604">
        <f t="shared" si="0"/>
        <v>9</v>
      </c>
      <c r="H26" s="628">
        <f t="shared" si="1"/>
        <v>0</v>
      </c>
      <c r="I26" s="628"/>
      <c r="J26" s="628"/>
      <c r="K26" s="628">
        <f t="shared" si="2"/>
        <v>0</v>
      </c>
    </row>
    <row r="27" spans="1:11" ht="15.75">
      <c r="A27" s="604" t="s">
        <v>190</v>
      </c>
      <c r="B27" s="604" t="str">
        <f t="shared" si="3"/>
        <v>Year 2018</v>
      </c>
      <c r="C27" s="604"/>
      <c r="D27" s="628">
        <f t="shared" si="4"/>
        <v>0</v>
      </c>
      <c r="E27" s="628"/>
      <c r="F27" s="629">
        <f t="shared" si="5"/>
        <v>4.0949999999999997E-3</v>
      </c>
      <c r="G27" s="604">
        <f t="shared" si="0"/>
        <v>8</v>
      </c>
      <c r="H27" s="628">
        <f t="shared" si="1"/>
        <v>0</v>
      </c>
      <c r="I27" s="628"/>
      <c r="J27" s="628"/>
      <c r="K27" s="628">
        <f t="shared" si="2"/>
        <v>0</v>
      </c>
    </row>
    <row r="28" spans="1:11" ht="15.75">
      <c r="A28" s="604" t="s">
        <v>384</v>
      </c>
      <c r="B28" s="604" t="str">
        <f t="shared" si="3"/>
        <v>Year 2018</v>
      </c>
      <c r="C28" s="604"/>
      <c r="D28" s="628">
        <f t="shared" si="4"/>
        <v>0</v>
      </c>
      <c r="E28" s="628"/>
      <c r="F28" s="629">
        <f t="shared" si="5"/>
        <v>4.0949999999999997E-3</v>
      </c>
      <c r="G28" s="604">
        <f t="shared" si="0"/>
        <v>7</v>
      </c>
      <c r="H28" s="628">
        <f t="shared" si="1"/>
        <v>0</v>
      </c>
      <c r="I28" s="628"/>
      <c r="J28" s="628"/>
      <c r="K28" s="628">
        <f t="shared" si="2"/>
        <v>0</v>
      </c>
    </row>
    <row r="29" spans="1:11" ht="15.75">
      <c r="A29" s="604" t="s">
        <v>191</v>
      </c>
      <c r="B29" s="604" t="str">
        <f t="shared" si="3"/>
        <v>Year 2018</v>
      </c>
      <c r="C29" s="604"/>
      <c r="D29" s="628">
        <f t="shared" si="4"/>
        <v>0</v>
      </c>
      <c r="E29" s="628"/>
      <c r="F29" s="629">
        <f t="shared" si="5"/>
        <v>4.0949999999999997E-3</v>
      </c>
      <c r="G29" s="604">
        <f t="shared" si="0"/>
        <v>6</v>
      </c>
      <c r="H29" s="628">
        <f t="shared" si="1"/>
        <v>0</v>
      </c>
      <c r="I29" s="628"/>
      <c r="J29" s="628"/>
      <c r="K29" s="628">
        <f t="shared" si="2"/>
        <v>0</v>
      </c>
    </row>
    <row r="30" spans="1:11" ht="15.75">
      <c r="A30" s="604" t="s">
        <v>192</v>
      </c>
      <c r="B30" s="604" t="str">
        <f t="shared" si="3"/>
        <v>Year 2018</v>
      </c>
      <c r="C30" s="604"/>
      <c r="D30" s="628">
        <f t="shared" si="4"/>
        <v>0</v>
      </c>
      <c r="E30" s="628"/>
      <c r="F30" s="629">
        <f t="shared" si="5"/>
        <v>4.0949999999999997E-3</v>
      </c>
      <c r="G30" s="604">
        <f t="shared" si="0"/>
        <v>5</v>
      </c>
      <c r="H30" s="628">
        <f t="shared" si="1"/>
        <v>0</v>
      </c>
      <c r="I30" s="628"/>
      <c r="J30" s="628"/>
      <c r="K30" s="628">
        <f t="shared" si="2"/>
        <v>0</v>
      </c>
    </row>
    <row r="31" spans="1:11" ht="15.75">
      <c r="A31" s="604" t="s">
        <v>194</v>
      </c>
      <c r="B31" s="604" t="str">
        <f t="shared" si="3"/>
        <v>Year 2018</v>
      </c>
      <c r="C31" s="604"/>
      <c r="D31" s="628">
        <f t="shared" si="4"/>
        <v>0</v>
      </c>
      <c r="E31" s="628"/>
      <c r="F31" s="629">
        <f t="shared" si="5"/>
        <v>4.0949999999999997E-3</v>
      </c>
      <c r="G31" s="604">
        <f t="shared" si="0"/>
        <v>4</v>
      </c>
      <c r="H31" s="628">
        <f t="shared" si="1"/>
        <v>0</v>
      </c>
      <c r="I31" s="628"/>
      <c r="J31" s="628"/>
      <c r="K31" s="628">
        <f t="shared" si="2"/>
        <v>0</v>
      </c>
    </row>
    <row r="32" spans="1:11" ht="15.75">
      <c r="A32" s="604" t="s">
        <v>562</v>
      </c>
      <c r="B32" s="604" t="str">
        <f t="shared" si="3"/>
        <v>Year 2018</v>
      </c>
      <c r="C32" s="604"/>
      <c r="D32" s="628">
        <f t="shared" si="4"/>
        <v>0</v>
      </c>
      <c r="E32" s="628"/>
      <c r="F32" s="629">
        <f t="shared" si="5"/>
        <v>4.0949999999999997E-3</v>
      </c>
      <c r="G32" s="604">
        <f t="shared" si="0"/>
        <v>3</v>
      </c>
      <c r="H32" s="628">
        <f t="shared" si="1"/>
        <v>0</v>
      </c>
      <c r="I32" s="628"/>
      <c r="J32" s="628"/>
      <c r="K32" s="628">
        <f t="shared" si="2"/>
        <v>0</v>
      </c>
    </row>
    <row r="33" spans="1:11" ht="15.75">
      <c r="A33" s="604" t="s">
        <v>563</v>
      </c>
      <c r="B33" s="604" t="str">
        <f t="shared" si="3"/>
        <v>Year 2018</v>
      </c>
      <c r="C33" s="604"/>
      <c r="D33" s="628">
        <f t="shared" si="4"/>
        <v>0</v>
      </c>
      <c r="E33" s="628"/>
      <c r="F33" s="629">
        <f t="shared" si="5"/>
        <v>4.0949999999999997E-3</v>
      </c>
      <c r="G33" s="604">
        <f t="shared" si="0"/>
        <v>2</v>
      </c>
      <c r="H33" s="628">
        <f t="shared" si="1"/>
        <v>0</v>
      </c>
      <c r="I33" s="628"/>
      <c r="J33" s="628"/>
      <c r="K33" s="628">
        <f t="shared" si="2"/>
        <v>0</v>
      </c>
    </row>
    <row r="34" spans="1:11" ht="15.75">
      <c r="A34" s="604" t="s">
        <v>193</v>
      </c>
      <c r="B34" s="604" t="str">
        <f t="shared" si="3"/>
        <v>Year 2018</v>
      </c>
      <c r="C34" s="604"/>
      <c r="D34" s="628">
        <f t="shared" si="4"/>
        <v>0</v>
      </c>
      <c r="E34" s="628"/>
      <c r="F34" s="629">
        <f t="shared" si="5"/>
        <v>4.0949999999999997E-3</v>
      </c>
      <c r="G34" s="604">
        <f t="shared" si="0"/>
        <v>1</v>
      </c>
      <c r="H34" s="630">
        <f t="shared" si="1"/>
        <v>0</v>
      </c>
      <c r="I34" s="628"/>
      <c r="J34" s="628"/>
      <c r="K34" s="628">
        <f t="shared" si="2"/>
        <v>0</v>
      </c>
    </row>
    <row r="35" spans="1:11" ht="15.75">
      <c r="A35" s="604"/>
      <c r="B35" s="604"/>
      <c r="C35" s="604"/>
      <c r="D35" s="628"/>
      <c r="E35" s="628"/>
      <c r="F35" s="629"/>
      <c r="G35" s="604"/>
      <c r="H35" s="628">
        <f>SUM(H23:H34)</f>
        <v>0</v>
      </c>
      <c r="I35" s="628"/>
      <c r="J35" s="628"/>
      <c r="K35" s="631">
        <f>SUM(K23:K34)</f>
        <v>0</v>
      </c>
    </row>
    <row r="36" spans="1:11" ht="15.75">
      <c r="A36" s="604"/>
      <c r="B36" s="604"/>
      <c r="C36" s="604"/>
      <c r="D36" s="628"/>
      <c r="E36" s="628"/>
      <c r="F36" s="629"/>
      <c r="G36" s="604"/>
      <c r="H36" s="628"/>
      <c r="I36" s="628" t="s">
        <v>116</v>
      </c>
      <c r="J36" s="628"/>
      <c r="K36" s="2"/>
    </row>
    <row r="37" spans="1:11" ht="15.75">
      <c r="A37" s="604"/>
      <c r="B37" s="604"/>
      <c r="C37" s="604"/>
      <c r="D37" s="614"/>
      <c r="E37" s="614"/>
      <c r="F37" s="629"/>
      <c r="G37" s="604"/>
      <c r="H37" s="632" t="s">
        <v>564</v>
      </c>
      <c r="I37" s="628"/>
      <c r="J37" s="628"/>
      <c r="K37" s="628"/>
    </row>
    <row r="38" spans="1:11" ht="15.75">
      <c r="A38" s="604" t="s">
        <v>565</v>
      </c>
      <c r="B38" s="604" t="str">
        <f>"Year 2019"</f>
        <v>Year 2019</v>
      </c>
      <c r="C38" s="604"/>
      <c r="D38" s="614">
        <f>K35</f>
        <v>0</v>
      </c>
      <c r="E38" s="614"/>
      <c r="F38" s="629">
        <f>+F34</f>
        <v>4.0949999999999997E-3</v>
      </c>
      <c r="G38" s="604">
        <v>12</v>
      </c>
      <c r="H38" s="628">
        <f>+G38*F38*D38</f>
        <v>0</v>
      </c>
      <c r="I38" s="628"/>
      <c r="J38" s="628"/>
      <c r="K38" s="631">
        <f>+D38+H38</f>
        <v>0</v>
      </c>
    </row>
    <row r="39" spans="1:11" ht="15.75">
      <c r="A39" s="604"/>
      <c r="B39" s="604"/>
      <c r="C39" s="604"/>
      <c r="D39" s="614"/>
      <c r="E39" s="614"/>
      <c r="F39" s="629"/>
      <c r="G39" s="604"/>
      <c r="H39" s="628"/>
      <c r="I39" s="628"/>
      <c r="J39" s="628"/>
      <c r="K39" s="628"/>
    </row>
    <row r="40" spans="1:11" ht="15.75">
      <c r="A40" s="633" t="s">
        <v>566</v>
      </c>
      <c r="B40" s="604"/>
      <c r="C40" s="604"/>
      <c r="D40" s="628"/>
      <c r="E40" s="628"/>
      <c r="F40" s="629"/>
      <c r="G40" s="604"/>
      <c r="H40" s="632" t="s">
        <v>560</v>
      </c>
      <c r="I40" s="628"/>
      <c r="J40" s="628"/>
      <c r="K40" s="628"/>
    </row>
    <row r="41" spans="1:11" ht="15.75">
      <c r="A41" s="604" t="s">
        <v>187</v>
      </c>
      <c r="B41" s="604" t="str">
        <f>"Year 2020"</f>
        <v>Year 2020</v>
      </c>
      <c r="C41" s="604"/>
      <c r="D41" s="634">
        <f>-K38</f>
        <v>0</v>
      </c>
      <c r="E41" s="614"/>
      <c r="F41" s="629">
        <f>+F34</f>
        <v>4.0949999999999997E-3</v>
      </c>
      <c r="G41" s="604"/>
      <c r="H41" s="628">
        <f xml:space="preserve"> -F41*D41</f>
        <v>0</v>
      </c>
      <c r="I41" s="628">
        <f>PMT(F41,12,K$38)</f>
        <v>0</v>
      </c>
      <c r="J41" s="628"/>
      <c r="K41" s="628">
        <f>(+D41+D41*F41-I41)*-1</f>
        <v>0</v>
      </c>
    </row>
    <row r="42" spans="1:11" ht="15.75">
      <c r="A42" s="604" t="s">
        <v>561</v>
      </c>
      <c r="B42" s="604" t="str">
        <f>+B41</f>
        <v>Year 2020</v>
      </c>
      <c r="C42" s="604"/>
      <c r="D42" s="614">
        <f>-K41</f>
        <v>0</v>
      </c>
      <c r="E42" s="614"/>
      <c r="F42" s="629">
        <f>+F41</f>
        <v>4.0949999999999997E-3</v>
      </c>
      <c r="G42" s="604"/>
      <c r="H42" s="628">
        <f xml:space="preserve"> -F42*D42</f>
        <v>0</v>
      </c>
      <c r="I42" s="628">
        <f>I41</f>
        <v>0</v>
      </c>
      <c r="J42" s="628"/>
      <c r="K42" s="628">
        <f t="shared" ref="K42:K52" si="6">(+D42+D42*F42-I42)*-1</f>
        <v>0</v>
      </c>
    </row>
    <row r="43" spans="1:11" ht="15.75">
      <c r="A43" s="604" t="s">
        <v>188</v>
      </c>
      <c r="B43" s="604" t="str">
        <f>+B42</f>
        <v>Year 2020</v>
      </c>
      <c r="C43" s="604"/>
      <c r="D43" s="614">
        <f t="shared" ref="D43:D52" si="7">-K42</f>
        <v>0</v>
      </c>
      <c r="E43" s="614"/>
      <c r="F43" s="629">
        <f t="shared" ref="F43:F52" si="8">+F42</f>
        <v>4.0949999999999997E-3</v>
      </c>
      <c r="G43" s="604"/>
      <c r="H43" s="628">
        <f t="shared" ref="H43:H52" si="9" xml:space="preserve"> -F43*D43</f>
        <v>0</v>
      </c>
      <c r="I43" s="628">
        <f t="shared" ref="I43:I52" si="10">I42</f>
        <v>0</v>
      </c>
      <c r="J43" s="628"/>
      <c r="K43" s="628">
        <f t="shared" si="6"/>
        <v>0</v>
      </c>
    </row>
    <row r="44" spans="1:11" ht="15.75">
      <c r="A44" s="604" t="s">
        <v>189</v>
      </c>
      <c r="B44" s="604" t="str">
        <f>+B43</f>
        <v>Year 2020</v>
      </c>
      <c r="C44" s="604"/>
      <c r="D44" s="614">
        <f t="shared" si="7"/>
        <v>0</v>
      </c>
      <c r="E44" s="614"/>
      <c r="F44" s="629">
        <f t="shared" si="8"/>
        <v>4.0949999999999997E-3</v>
      </c>
      <c r="G44" s="604"/>
      <c r="H44" s="628">
        <f t="shared" si="9"/>
        <v>0</v>
      </c>
      <c r="I44" s="628">
        <f t="shared" si="10"/>
        <v>0</v>
      </c>
      <c r="J44" s="628"/>
      <c r="K44" s="628">
        <f t="shared" si="6"/>
        <v>0</v>
      </c>
    </row>
    <row r="45" spans="1:11" ht="15.75">
      <c r="A45" s="604" t="s">
        <v>190</v>
      </c>
      <c r="B45" s="604" t="str">
        <f>+B44</f>
        <v>Year 2020</v>
      </c>
      <c r="C45" s="604"/>
      <c r="D45" s="614">
        <f t="shared" si="7"/>
        <v>0</v>
      </c>
      <c r="E45" s="614"/>
      <c r="F45" s="629">
        <f t="shared" si="8"/>
        <v>4.0949999999999997E-3</v>
      </c>
      <c r="G45" s="604"/>
      <c r="H45" s="628">
        <f t="shared" si="9"/>
        <v>0</v>
      </c>
      <c r="I45" s="628">
        <f>I44</f>
        <v>0</v>
      </c>
      <c r="J45" s="628"/>
      <c r="K45" s="628">
        <f t="shared" si="6"/>
        <v>0</v>
      </c>
    </row>
    <row r="46" spans="1:11" ht="15.75">
      <c r="A46" s="604" t="s">
        <v>384</v>
      </c>
      <c r="B46" s="604" t="str">
        <f>B45</f>
        <v>Year 2020</v>
      </c>
      <c r="C46" s="2"/>
      <c r="D46" s="614">
        <f t="shared" si="7"/>
        <v>0</v>
      </c>
      <c r="E46" s="614"/>
      <c r="F46" s="629">
        <f t="shared" si="8"/>
        <v>4.0949999999999997E-3</v>
      </c>
      <c r="G46" s="604"/>
      <c r="H46" s="628">
        <f t="shared" si="9"/>
        <v>0</v>
      </c>
      <c r="I46" s="628">
        <f t="shared" si="10"/>
        <v>0</v>
      </c>
      <c r="J46" s="628"/>
      <c r="K46" s="628">
        <f t="shared" si="6"/>
        <v>0</v>
      </c>
    </row>
    <row r="47" spans="1:11" ht="15.75">
      <c r="A47" s="604" t="s">
        <v>191</v>
      </c>
      <c r="B47" s="604" t="str">
        <f t="shared" ref="B47:B52" si="11">+B46</f>
        <v>Year 2020</v>
      </c>
      <c r="C47" s="604"/>
      <c r="D47" s="614">
        <f t="shared" si="7"/>
        <v>0</v>
      </c>
      <c r="E47" s="614"/>
      <c r="F47" s="629">
        <f t="shared" si="8"/>
        <v>4.0949999999999997E-3</v>
      </c>
      <c r="G47" s="604"/>
      <c r="H47" s="628">
        <f t="shared" si="9"/>
        <v>0</v>
      </c>
      <c r="I47" s="628">
        <f t="shared" si="10"/>
        <v>0</v>
      </c>
      <c r="J47" s="628"/>
      <c r="K47" s="628">
        <f t="shared" si="6"/>
        <v>0</v>
      </c>
    </row>
    <row r="48" spans="1:11" ht="15.75">
      <c r="A48" s="604" t="s">
        <v>192</v>
      </c>
      <c r="B48" s="604" t="str">
        <f t="shared" si="11"/>
        <v>Year 2020</v>
      </c>
      <c r="C48" s="604"/>
      <c r="D48" s="614">
        <f t="shared" si="7"/>
        <v>0</v>
      </c>
      <c r="E48" s="614"/>
      <c r="F48" s="629">
        <f t="shared" si="8"/>
        <v>4.0949999999999997E-3</v>
      </c>
      <c r="G48" s="604"/>
      <c r="H48" s="628">
        <f t="shared" si="9"/>
        <v>0</v>
      </c>
      <c r="I48" s="628">
        <f t="shared" si="10"/>
        <v>0</v>
      </c>
      <c r="J48" s="628"/>
      <c r="K48" s="628">
        <f t="shared" si="6"/>
        <v>0</v>
      </c>
    </row>
    <row r="49" spans="1:11" ht="15.75">
      <c r="A49" s="604" t="s">
        <v>194</v>
      </c>
      <c r="B49" s="604" t="str">
        <f t="shared" si="11"/>
        <v>Year 2020</v>
      </c>
      <c r="C49" s="604"/>
      <c r="D49" s="614">
        <f t="shared" si="7"/>
        <v>0</v>
      </c>
      <c r="E49" s="614"/>
      <c r="F49" s="629">
        <f t="shared" si="8"/>
        <v>4.0949999999999997E-3</v>
      </c>
      <c r="G49" s="604"/>
      <c r="H49" s="628">
        <f t="shared" si="9"/>
        <v>0</v>
      </c>
      <c r="I49" s="628">
        <f>I48</f>
        <v>0</v>
      </c>
      <c r="J49" s="628"/>
      <c r="K49" s="628">
        <f t="shared" si="6"/>
        <v>0</v>
      </c>
    </row>
    <row r="50" spans="1:11" ht="15.75">
      <c r="A50" s="604" t="s">
        <v>562</v>
      </c>
      <c r="B50" s="604" t="str">
        <f t="shared" si="11"/>
        <v>Year 2020</v>
      </c>
      <c r="C50" s="604"/>
      <c r="D50" s="614">
        <f t="shared" si="7"/>
        <v>0</v>
      </c>
      <c r="E50" s="614"/>
      <c r="F50" s="629">
        <f t="shared" si="8"/>
        <v>4.0949999999999997E-3</v>
      </c>
      <c r="G50" s="604"/>
      <c r="H50" s="628">
        <f t="shared" si="9"/>
        <v>0</v>
      </c>
      <c r="I50" s="628">
        <f t="shared" si="10"/>
        <v>0</v>
      </c>
      <c r="J50" s="628"/>
      <c r="K50" s="628">
        <f t="shared" si="6"/>
        <v>0</v>
      </c>
    </row>
    <row r="51" spans="1:11" ht="15.75">
      <c r="A51" s="604" t="s">
        <v>563</v>
      </c>
      <c r="B51" s="604" t="str">
        <f t="shared" si="11"/>
        <v>Year 2020</v>
      </c>
      <c r="C51" s="604"/>
      <c r="D51" s="614">
        <f t="shared" si="7"/>
        <v>0</v>
      </c>
      <c r="E51" s="614"/>
      <c r="F51" s="629">
        <f t="shared" si="8"/>
        <v>4.0949999999999997E-3</v>
      </c>
      <c r="G51" s="604"/>
      <c r="H51" s="628">
        <f t="shared" si="9"/>
        <v>0</v>
      </c>
      <c r="I51" s="628">
        <f t="shared" si="10"/>
        <v>0</v>
      </c>
      <c r="J51" s="628"/>
      <c r="K51" s="628">
        <f t="shared" si="6"/>
        <v>0</v>
      </c>
    </row>
    <row r="52" spans="1:11" ht="15.75">
      <c r="A52" s="604" t="s">
        <v>193</v>
      </c>
      <c r="B52" s="604" t="str">
        <f t="shared" si="11"/>
        <v>Year 2020</v>
      </c>
      <c r="C52" s="604"/>
      <c r="D52" s="614">
        <f t="shared" si="7"/>
        <v>0</v>
      </c>
      <c r="E52" s="614"/>
      <c r="F52" s="629">
        <f t="shared" si="8"/>
        <v>4.0949999999999997E-3</v>
      </c>
      <c r="G52" s="604"/>
      <c r="H52" s="630">
        <f t="shared" si="9"/>
        <v>0</v>
      </c>
      <c r="I52" s="628">
        <f t="shared" si="10"/>
        <v>0</v>
      </c>
      <c r="J52" s="628"/>
      <c r="K52" s="628">
        <f t="shared" si="6"/>
        <v>0</v>
      </c>
    </row>
    <row r="53" spans="1:11" ht="15.75">
      <c r="A53" s="604"/>
      <c r="B53" s="604"/>
      <c r="C53" s="604"/>
      <c r="D53" s="614"/>
      <c r="E53" s="614"/>
      <c r="F53" s="629"/>
      <c r="G53" s="604"/>
      <c r="H53" s="628">
        <f>SUM(H41:H52)</f>
        <v>0</v>
      </c>
      <c r="I53" s="628"/>
      <c r="J53" s="628"/>
      <c r="K53" s="628"/>
    </row>
    <row r="54" spans="1:11" ht="15">
      <c r="A54" s="2"/>
      <c r="B54" s="2"/>
      <c r="C54" s="2"/>
      <c r="D54" s="2"/>
      <c r="E54" s="2"/>
      <c r="F54" s="2"/>
      <c r="G54" s="2"/>
      <c r="H54" s="2"/>
      <c r="I54" s="635"/>
      <c r="J54" s="2"/>
      <c r="K54" s="2"/>
    </row>
    <row r="55" spans="1:11" ht="15.75">
      <c r="A55" s="604" t="s">
        <v>571</v>
      </c>
      <c r="B55" s="2"/>
      <c r="C55" s="2"/>
      <c r="D55" s="2"/>
      <c r="E55" s="2"/>
      <c r="F55" s="2"/>
      <c r="G55" s="2"/>
      <c r="H55" s="2"/>
      <c r="I55" s="636">
        <f>(SUM(I41:I52)*-1)</f>
        <v>0</v>
      </c>
      <c r="J55" s="2"/>
      <c r="K55" s="2"/>
    </row>
    <row r="56" spans="1:11" ht="15.75">
      <c r="A56" s="604" t="s">
        <v>567</v>
      </c>
      <c r="B56" s="2"/>
      <c r="C56" s="2"/>
      <c r="D56" s="2"/>
      <c r="E56" s="2"/>
      <c r="F56" s="2"/>
      <c r="G56" s="2"/>
      <c r="H56" s="2"/>
      <c r="I56" s="637">
        <f>+H12</f>
        <v>0</v>
      </c>
      <c r="J56" s="2"/>
      <c r="K56" s="2"/>
    </row>
    <row r="57" spans="1:11" ht="15.75">
      <c r="A57" s="604" t="s">
        <v>568</v>
      </c>
      <c r="B57" s="2"/>
      <c r="C57" s="2"/>
      <c r="D57" s="2"/>
      <c r="E57" s="2"/>
      <c r="F57" s="2"/>
      <c r="G57" s="2"/>
      <c r="H57" s="2"/>
      <c r="I57" s="636">
        <f>(I55+I56)</f>
        <v>0</v>
      </c>
      <c r="J57" s="2"/>
      <c r="K57" s="2"/>
    </row>
    <row r="59" spans="1:11" ht="78.75" customHeight="1">
      <c r="A59" s="1302" t="s">
        <v>572</v>
      </c>
      <c r="B59" s="1302"/>
      <c r="C59" s="1302"/>
      <c r="D59" s="1302"/>
      <c r="E59" s="143"/>
      <c r="F59" s="143"/>
      <c r="G59" s="143"/>
      <c r="H59" s="143"/>
      <c r="I59" s="143"/>
      <c r="J59" s="143"/>
      <c r="K59" s="143"/>
    </row>
    <row r="60" spans="1:11" ht="13.5">
      <c r="A60" s="638"/>
      <c r="F60" s="639"/>
      <c r="I60" s="640"/>
    </row>
    <row r="61" spans="1:11" ht="15.75">
      <c r="A61" s="641"/>
      <c r="B61" s="642"/>
      <c r="C61" s="642"/>
      <c r="D61" s="642"/>
      <c r="E61" s="642"/>
      <c r="F61" s="642"/>
      <c r="G61" s="642"/>
      <c r="H61" s="642"/>
      <c r="I61" s="643"/>
      <c r="J61" s="642"/>
      <c r="K61" s="642"/>
    </row>
  </sheetData>
  <mergeCells count="5">
    <mergeCell ref="A3:K3"/>
    <mergeCell ref="A4:K4"/>
    <mergeCell ref="A5:K5"/>
    <mergeCell ref="D6:G6"/>
    <mergeCell ref="A59:D59"/>
  </mergeCells>
  <pageMargins left="0.7" right="0.7" top="0.75" bottom="0.75" header="0.3" footer="0.3"/>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Q223"/>
  <sheetViews>
    <sheetView tabSelected="1" view="pageBreakPreview" topLeftCell="A9" zoomScaleNormal="75" zoomScaleSheetLayoutView="100" workbookViewId="0">
      <selection activeCell="D9" sqref="D9"/>
    </sheetView>
  </sheetViews>
  <sheetFormatPr defaultColWidth="9.140625" defaultRowHeight="12.75"/>
  <cols>
    <col min="1" max="1" width="9.140625" style="17"/>
    <col min="2" max="2" width="0.85546875" style="26" customWidth="1"/>
    <col min="3" max="3" width="41.5703125" style="17" customWidth="1"/>
    <col min="4" max="4" width="34.42578125" style="17" bestFit="1" customWidth="1"/>
    <col min="5" max="5" width="23.140625" style="17" customWidth="1"/>
    <col min="6" max="6" width="3.140625" style="17" customWidth="1"/>
    <col min="7" max="7" width="24.5703125" style="17" customWidth="1"/>
    <col min="8" max="8" width="2.85546875" style="17" customWidth="1"/>
    <col min="9" max="9" width="20.85546875" style="17" customWidth="1"/>
    <col min="10" max="10" width="4.5703125" style="17" customWidth="1"/>
    <col min="11" max="11" width="18" style="17" bestFit="1" customWidth="1"/>
    <col min="12" max="12" width="20.42578125" style="17" customWidth="1"/>
    <col min="13" max="15" width="9.140625" style="17"/>
    <col min="16" max="16" width="10" style="17" bestFit="1" customWidth="1"/>
    <col min="17" max="17" width="17.5703125" style="17" customWidth="1"/>
    <col min="18" max="18" width="15.5703125" style="17" bestFit="1" customWidth="1"/>
    <col min="19" max="16384" width="9.140625" style="17"/>
  </cols>
  <sheetData>
    <row r="1" spans="1:15" ht="15.75">
      <c r="A1" s="693" t="s">
        <v>116</v>
      </c>
    </row>
    <row r="2" spans="1:15" ht="15.75">
      <c r="A2" s="693" t="s">
        <v>116</v>
      </c>
    </row>
    <row r="3" spans="1:15" ht="15">
      <c r="A3" s="1210" t="s">
        <v>389</v>
      </c>
      <c r="B3" s="1210"/>
      <c r="C3" s="1210"/>
      <c r="D3" s="1210"/>
      <c r="E3" s="1210"/>
      <c r="F3" s="1210"/>
      <c r="G3" s="1210"/>
      <c r="H3" s="1210"/>
      <c r="I3" s="1210"/>
      <c r="J3" s="30"/>
      <c r="K3" s="30"/>
    </row>
    <row r="4" spans="1:15" ht="15">
      <c r="A4" s="1211" t="str">
        <f>"Cost of Service Formula Rate Using Actual/Projected FF1 Balances"</f>
        <v>Cost of Service Formula Rate Using Actual/Projected FF1 Balances</v>
      </c>
      <c r="B4" s="1211"/>
      <c r="C4" s="1211"/>
      <c r="D4" s="1211"/>
      <c r="E4" s="1211"/>
      <c r="F4" s="1211"/>
      <c r="G4" s="1211"/>
      <c r="H4" s="1211"/>
      <c r="I4" s="1211"/>
      <c r="J4" s="78"/>
      <c r="K4" s="78"/>
    </row>
    <row r="5" spans="1:15" ht="15">
      <c r="A5" s="1211" t="s">
        <v>473</v>
      </c>
      <c r="B5" s="1211"/>
      <c r="C5" s="1211"/>
      <c r="D5" s="1211"/>
      <c r="E5" s="1211"/>
      <c r="F5" s="1211"/>
      <c r="G5" s="1211"/>
      <c r="H5" s="1211"/>
      <c r="I5" s="1211"/>
      <c r="J5" s="77"/>
      <c r="K5" s="77"/>
    </row>
    <row r="6" spans="1:15" ht="15">
      <c r="A6" s="1219" t="str">
        <f>TCOS!F9</f>
        <v>KENTUCKY POWER COMPANY</v>
      </c>
      <c r="B6" s="1219"/>
      <c r="C6" s="1219"/>
      <c r="D6" s="1219"/>
      <c r="E6" s="1219"/>
      <c r="F6" s="1219"/>
      <c r="G6" s="1219"/>
      <c r="H6" s="1219"/>
      <c r="I6" s="1219"/>
      <c r="J6" s="3"/>
      <c r="K6" s="3"/>
      <c r="L6"/>
      <c r="M6"/>
    </row>
    <row r="7" spans="1:15">
      <c r="C7" s="24"/>
      <c r="D7" s="24"/>
    </row>
    <row r="8" spans="1:15">
      <c r="C8" s="5" t="s">
        <v>164</v>
      </c>
      <c r="D8" s="5" t="s">
        <v>165</v>
      </c>
      <c r="E8" s="5" t="s">
        <v>166</v>
      </c>
      <c r="G8" s="5" t="s">
        <v>167</v>
      </c>
      <c r="I8" s="5" t="s">
        <v>85</v>
      </c>
      <c r="J8" s="5"/>
      <c r="K8" s="5"/>
      <c r="L8" s="5"/>
      <c r="M8"/>
      <c r="N8"/>
      <c r="O8"/>
    </row>
    <row r="9" spans="1:15">
      <c r="A9" s="76"/>
      <c r="I9" s="10"/>
      <c r="J9"/>
      <c r="K9"/>
      <c r="L9"/>
      <c r="M9"/>
      <c r="N9"/>
      <c r="O9"/>
    </row>
    <row r="10" spans="1:15" ht="12.75" customHeight="1">
      <c r="A10" s="9" t="s">
        <v>171</v>
      </c>
      <c r="C10" s="25"/>
      <c r="D10" s="25"/>
      <c r="E10" s="1217" t="str">
        <f>"Balance @ December 31, "&amp;TCOS!L4&amp;""</f>
        <v>Balance @ December 31, 2025</v>
      </c>
      <c r="F10" s="113"/>
      <c r="G10" s="1217" t="str">
        <f>"Balance @ December 31, "&amp;TCOS!L4-1&amp;""</f>
        <v>Balance @ December 31, 2024</v>
      </c>
      <c r="H10" s="113"/>
      <c r="I10" s="1220" t="str">
        <f>"Average Balance for "&amp;TCOS!L4&amp;""</f>
        <v>Average Balance for 2025</v>
      </c>
      <c r="J10"/>
      <c r="K10"/>
      <c r="L10"/>
      <c r="M10"/>
      <c r="N10"/>
      <c r="O10"/>
    </row>
    <row r="11" spans="1:15">
      <c r="A11" s="9" t="s">
        <v>107</v>
      </c>
      <c r="B11" s="8"/>
      <c r="C11" s="9" t="s">
        <v>169</v>
      </c>
      <c r="D11" s="9" t="s">
        <v>208</v>
      </c>
      <c r="E11" s="1218"/>
      <c r="F11" s="71"/>
      <c r="G11" s="1218"/>
      <c r="H11" s="195"/>
      <c r="I11" s="1218"/>
      <c r="J11"/>
      <c r="K11"/>
      <c r="L11"/>
      <c r="M11"/>
      <c r="N11"/>
      <c r="O11"/>
    </row>
    <row r="12" spans="1:15">
      <c r="A12" s="76"/>
      <c r="C12" s="24"/>
      <c r="D12" s="24"/>
      <c r="G12" s="206"/>
    </row>
    <row r="13" spans="1:15">
      <c r="A13" s="76"/>
      <c r="C13" s="24"/>
      <c r="D13" s="24"/>
    </row>
    <row r="14" spans="1:15">
      <c r="A14" s="76"/>
      <c r="C14" s="24"/>
      <c r="D14" s="24"/>
    </row>
    <row r="15" spans="1:15" ht="15.75">
      <c r="A15" s="76">
        <v>1</v>
      </c>
      <c r="C15" s="44" t="s">
        <v>511</v>
      </c>
      <c r="D15" s="44"/>
    </row>
    <row r="16" spans="1:15" ht="15.75">
      <c r="A16" s="76"/>
      <c r="C16" s="44"/>
      <c r="D16" s="44"/>
      <c r="H16"/>
    </row>
    <row r="17" spans="1:17">
      <c r="A17" s="76">
        <f>+A15+1</f>
        <v>2</v>
      </c>
      <c r="C17" s="52" t="s">
        <v>517</v>
      </c>
      <c r="D17" s="70" t="s">
        <v>519</v>
      </c>
      <c r="E17" s="648">
        <f>SUM('WS B-1 - Actual Stmt. AF'!Q23:S23)</f>
        <v>37147950.43</v>
      </c>
      <c r="G17" s="688">
        <f>SUM('WS B-1 - Actual Stmt. AF'!M23:O23)</f>
        <v>39140758.200000003</v>
      </c>
      <c r="H17"/>
      <c r="I17" s="111">
        <f>IF(G17="",0,(E17+G17)/2)</f>
        <v>38144354.314999998</v>
      </c>
    </row>
    <row r="18" spans="1:17">
      <c r="A18" s="76">
        <f>+A17+1</f>
        <v>3</v>
      </c>
      <c r="C18" s="52" t="s">
        <v>521</v>
      </c>
      <c r="D18" s="76" t="str">
        <f>"WS B-1 - Actual Stmt. AF Ln. " &amp;'WS B-1 - Actual Stmt. AF'!A24&amp;" (Note 1)"</f>
        <v>WS B-1 - Actual Stmt. AF Ln. 4 (Note 1)</v>
      </c>
      <c r="E18" s="648">
        <f>SUM('WS B-1 - Actual Stmt. AF'!Q24:S24)</f>
        <v>0</v>
      </c>
      <c r="G18" s="688">
        <f>SUM('WS B-1 - Actual Stmt. AF'!M24:O24)</f>
        <v>0</v>
      </c>
      <c r="H18"/>
      <c r="I18" s="111">
        <f>IF(G18="",0,(E18+G18)/2)</f>
        <v>0</v>
      </c>
    </row>
    <row r="19" spans="1:17" ht="15">
      <c r="A19" s="76">
        <f>+A18+1</f>
        <v>4</v>
      </c>
      <c r="C19" s="52" t="s">
        <v>522</v>
      </c>
      <c r="D19" s="76" t="str">
        <f>"WS B-1 - Actual Stmt. AF Ln. " &amp;'WS B-1 - Actual Stmt. AF'!A23&amp;" (Note 1)"</f>
        <v>WS B-1 - Actual Stmt. AF Ln. 3 (Note 1)</v>
      </c>
      <c r="E19" s="649">
        <f>('WS B-1 - Actual Stmt. AF'!Q23+'WS B-1 - Actual Stmt. AF'!S23)-('WS B-1 - Actual Stmt. AF'!Q24+'WS B-1 - Actual Stmt. AF'!S24)</f>
        <v>37147950.43</v>
      </c>
      <c r="G19" s="689">
        <f>('WS B-1 - Actual Stmt. AF'!M23+'WS B-1 - Actual Stmt. AF'!O23)-('WS B-1 - Actual Stmt. AF'!M24+'WS B-1 - Actual Stmt. AF'!O24)</f>
        <v>39140758.200000003</v>
      </c>
      <c r="I19" s="178">
        <f>IF(G19="",0,(E19+G19)/2)</f>
        <v>38144354.314999998</v>
      </c>
    </row>
    <row r="20" spans="1:17">
      <c r="A20" s="76">
        <f>+A19+1</f>
        <v>5</v>
      </c>
      <c r="C20" s="52" t="s">
        <v>518</v>
      </c>
      <c r="D20" s="114" t="str">
        <f>"Ln "&amp;A17&amp;" - ln "&amp;A18&amp;" - ln "&amp;A19&amp;""</f>
        <v>Ln 2 - ln 3 - ln 4</v>
      </c>
      <c r="E20" s="18">
        <f>+E17-E18-E19</f>
        <v>0</v>
      </c>
      <c r="G20" s="18">
        <f>+G17-G18-G19</f>
        <v>0</v>
      </c>
      <c r="I20" s="111">
        <f>+I17-I18-I19</f>
        <v>0</v>
      </c>
    </row>
    <row r="21" spans="1:17">
      <c r="A21" s="76"/>
      <c r="C21" s="52"/>
      <c r="D21" s="114"/>
    </row>
    <row r="22" spans="1:17">
      <c r="A22" s="76"/>
      <c r="C22" s="52"/>
      <c r="D22" s="114"/>
      <c r="K22" s="18"/>
      <c r="L22" s="18"/>
      <c r="M22" s="18"/>
      <c r="N22" s="18"/>
      <c r="O22" s="18"/>
    </row>
    <row r="23" spans="1:17" ht="15.75">
      <c r="A23" s="76">
        <f>+A20+1</f>
        <v>6</v>
      </c>
      <c r="C23" s="44" t="s">
        <v>512</v>
      </c>
      <c r="D23" s="114"/>
      <c r="K23" s="18"/>
      <c r="L23" s="18"/>
      <c r="M23" s="18"/>
      <c r="N23" s="18"/>
      <c r="O23" s="18"/>
    </row>
    <row r="24" spans="1:17">
      <c r="A24" s="76"/>
      <c r="C24" s="52"/>
      <c r="D24" s="114"/>
      <c r="K24" s="18"/>
      <c r="L24" s="18"/>
      <c r="M24" s="18"/>
      <c r="N24" s="18"/>
      <c r="O24" s="18"/>
    </row>
    <row r="25" spans="1:17">
      <c r="A25" s="76">
        <f>+A23+1</f>
        <v>7</v>
      </c>
      <c r="C25" s="52" t="s">
        <v>517</v>
      </c>
      <c r="D25" s="70" t="s">
        <v>451</v>
      </c>
      <c r="E25" s="648">
        <f>SUM('WS B-1 - Actual Stmt. AF'!Q56:S56)-'WS B-1 - Actual Stmt. AF'!D48</f>
        <v>330384482.65999997</v>
      </c>
      <c r="G25" s="688">
        <f>SUM('WS B-1 - Actual Stmt. AF'!M56:O56)-'WS B-1 - Actual Stmt. AF'!C48</f>
        <v>323806150.67000002</v>
      </c>
      <c r="H25"/>
      <c r="I25" s="111">
        <f>IF(G25="",0,(E25+G25)/2)</f>
        <v>327095316.66499996</v>
      </c>
      <c r="K25" s="18"/>
      <c r="L25" s="18"/>
      <c r="M25" s="18"/>
      <c r="N25" s="18"/>
      <c r="O25" s="18"/>
    </row>
    <row r="26" spans="1:17">
      <c r="A26" s="76">
        <f>+A25+1</f>
        <v>8</v>
      </c>
      <c r="C26" s="52" t="s">
        <v>521</v>
      </c>
      <c r="D26" s="76" t="str">
        <f>"WS B-1 - Actual Stmt. AF Ln. " &amp;'WS B-1 - Actual Stmt. AF'!A57&amp;" (Note 1)"</f>
        <v>WS B-1 - Actual Stmt. AF Ln. 7 (Note 1)</v>
      </c>
      <c r="E26" s="648">
        <f>SUM('WS B-1 - Actual Stmt. AF'!Q57:S57)</f>
        <v>4432011.6100000003</v>
      </c>
      <c r="G26" s="688">
        <f>SUM('WS B-1 - Actual Stmt. AF'!M57:O57)</f>
        <v>5913733.3900000006</v>
      </c>
      <c r="H26"/>
      <c r="I26" s="111">
        <f>IF(G26="",0,(E26+G26)/2)</f>
        <v>5172872.5</v>
      </c>
      <c r="K26" s="18"/>
      <c r="L26" s="18"/>
      <c r="M26" s="18"/>
      <c r="N26" s="18"/>
      <c r="O26" s="18"/>
    </row>
    <row r="27" spans="1:17" ht="15">
      <c r="A27" s="76">
        <f>+A26+1</f>
        <v>9</v>
      </c>
      <c r="C27" s="52" t="s">
        <v>522</v>
      </c>
      <c r="D27" s="76" t="str">
        <f>"WS B-1 - Actual Stmt. AF Ln. " &amp;'WS B-1 - Actual Stmt. AF'!A56&amp;" (Note 1)"</f>
        <v>WS B-1 - Actual Stmt. AF Ln. 6 (Note 1)</v>
      </c>
      <c r="E27" s="649">
        <f>('WS B-1 - Actual Stmt. AF'!Q56+'WS B-1 - Actual Stmt. AF'!S56)-('WS B-1 - Actual Stmt. AF'!Q57+'WS B-1 - Actual Stmt. AF'!S57)-'WS B-1 - Actual Stmt. AF'!D48</f>
        <v>227272212.90999997</v>
      </c>
      <c r="G27" s="689">
        <f>('WS B-1 - Actual Stmt. AF'!M56+'WS B-1 - Actual Stmt. AF'!O56)-('WS B-1 - Actual Stmt. AF'!M57+'WS B-1 - Actual Stmt. AF'!O57)-'WS B-1 - Actual Stmt. AF'!C48</f>
        <v>228021437.04466733</v>
      </c>
      <c r="I27" s="178">
        <f>IF(G27="",0,(E27+G27)/2)</f>
        <v>227646824.97733366</v>
      </c>
      <c r="K27" s="18"/>
      <c r="L27" s="18"/>
      <c r="M27" s="18"/>
      <c r="N27" s="18"/>
      <c r="O27" s="18"/>
    </row>
    <row r="28" spans="1:17">
      <c r="A28" s="76">
        <f>+A27+1</f>
        <v>10</v>
      </c>
      <c r="C28" s="52" t="s">
        <v>518</v>
      </c>
      <c r="D28" s="114" t="str">
        <f>"Ln "&amp;A25&amp;" - ln "&amp;A26&amp;" - ln "&amp;A27&amp;""</f>
        <v>Ln 7 - ln 8 - ln 9</v>
      </c>
      <c r="E28" s="18">
        <f>+E25-E26-E27</f>
        <v>98680258.139999986</v>
      </c>
      <c r="G28" s="18">
        <f>+G25-G26-G27</f>
        <v>89870980.235332698</v>
      </c>
      <c r="I28" s="111">
        <f>+I25-I26-I27</f>
        <v>94275619.187666297</v>
      </c>
      <c r="K28" s="18"/>
      <c r="L28" s="18"/>
      <c r="M28" s="18"/>
      <c r="N28" s="18"/>
      <c r="O28" s="18"/>
    </row>
    <row r="29" spans="1:17">
      <c r="A29" s="76"/>
      <c r="C29" s="52"/>
      <c r="D29" s="114"/>
      <c r="K29" s="18"/>
      <c r="L29" s="18"/>
      <c r="M29" s="18"/>
      <c r="N29" s="18"/>
      <c r="O29" s="18"/>
      <c r="P29" s="18"/>
      <c r="Q29" s="18"/>
    </row>
    <row r="30" spans="1:17">
      <c r="A30" s="76"/>
      <c r="C30" s="52"/>
      <c r="D30" s="114"/>
      <c r="E30" s="18"/>
      <c r="G30" s="18"/>
      <c r="K30" s="18"/>
      <c r="L30" s="18"/>
      <c r="M30" s="18"/>
      <c r="N30" s="18"/>
      <c r="O30" s="18"/>
      <c r="P30" s="18"/>
      <c r="Q30" s="18"/>
    </row>
    <row r="31" spans="1:17" ht="15.75">
      <c r="A31" s="76">
        <f>+A28+1</f>
        <v>11</v>
      </c>
      <c r="C31" s="44" t="s">
        <v>513</v>
      </c>
      <c r="D31" s="114"/>
      <c r="K31" s="18"/>
      <c r="L31" s="18"/>
      <c r="M31" s="18"/>
      <c r="N31" s="18"/>
      <c r="O31" s="18"/>
      <c r="P31" s="18"/>
      <c r="Q31" s="18"/>
    </row>
    <row r="32" spans="1:17" ht="15.75">
      <c r="A32" s="76"/>
      <c r="C32" s="44"/>
      <c r="D32" s="114"/>
      <c r="K32" s="18"/>
      <c r="L32" s="18"/>
      <c r="M32" s="18"/>
      <c r="N32" s="18"/>
      <c r="O32" s="18"/>
      <c r="P32" s="18"/>
      <c r="Q32" s="18"/>
    </row>
    <row r="33" spans="1:17">
      <c r="A33" s="76">
        <f>+A31+1</f>
        <v>12</v>
      </c>
      <c r="C33" s="52" t="s">
        <v>517</v>
      </c>
      <c r="D33" s="70" t="s">
        <v>520</v>
      </c>
      <c r="E33" s="648">
        <f>SUM('WS B-1 - Actual Stmt. AF'!Q149:S149)-'WS B-1 - Actual Stmt. AF'!D132</f>
        <v>131042468.37</v>
      </c>
      <c r="G33" s="688">
        <f>SUM('WS B-1 - Actual Stmt. AF'!M149:O149)-'WS B-1 - Actual Stmt. AF'!C132</f>
        <v>122171307.00999999</v>
      </c>
      <c r="H33"/>
      <c r="I33" s="111">
        <f>IF(G33="",0,(E33+G33)/2)</f>
        <v>126606887.69</v>
      </c>
      <c r="K33" s="18"/>
      <c r="L33" s="18"/>
      <c r="M33" s="18"/>
      <c r="N33" s="18"/>
      <c r="O33" s="18"/>
      <c r="P33" s="18"/>
      <c r="Q33" s="18"/>
    </row>
    <row r="34" spans="1:17">
      <c r="A34" s="76">
        <f>+A33+1</f>
        <v>13</v>
      </c>
      <c r="C34" s="52" t="s">
        <v>521</v>
      </c>
      <c r="D34" s="76" t="str">
        <f>"WS B-1 - Actual Stmt. AF Ln. " &amp;'WS B-1 - Actual Stmt. AF'!A150&amp;" (Note 1)"</f>
        <v>WS B-1 - Actual Stmt. AF Ln. 14 (Note 1)</v>
      </c>
      <c r="E34" s="648">
        <f>SUM('WS B-1 - Actual Stmt. AF'!Q150:S150)</f>
        <v>11556091.039999999</v>
      </c>
      <c r="G34" s="688">
        <f>SUM('WS B-1 - Actual Stmt. AF'!M150:O150)</f>
        <v>34189029.560000002</v>
      </c>
      <c r="H34"/>
      <c r="I34" s="111">
        <f>IF(G34="",0,(E34+G34)/2)</f>
        <v>22872560.300000001</v>
      </c>
      <c r="K34" s="816"/>
      <c r="L34" s="816"/>
      <c r="M34" s="816"/>
      <c r="N34" s="816"/>
      <c r="O34" s="816"/>
    </row>
    <row r="35" spans="1:17" ht="15">
      <c r="A35" s="76">
        <f>+A34+1</f>
        <v>14</v>
      </c>
      <c r="C35" s="52" t="s">
        <v>522</v>
      </c>
      <c r="D35" s="76" t="str">
        <f>"WS B-1 - Actual Stmt. AF Ln. " &amp;'WS B-1 - Actual Stmt. AF'!A149&amp;" (Note 1)"</f>
        <v>WS B-1 - Actual Stmt. AF Ln. 13 (Note 1)</v>
      </c>
      <c r="E35" s="649">
        <f>('WS B-1 - Actual Stmt. AF'!Q149+'WS B-1 - Actual Stmt. AF'!S149)-('WS B-1 - Actual Stmt. AF'!Q150+'WS B-1 - Actual Stmt. AF'!S150)-'WS B-1 - Actual Stmt. AF'!D132</f>
        <v>119251591.00000003</v>
      </c>
      <c r="G35" s="689">
        <f>('WS B-1 - Actual Stmt. AF'!M149+'WS B-1 - Actual Stmt. AF'!O149)-('WS B-1 - Actual Stmt. AF'!M150+'WS B-1 - Actual Stmt. AF'!O150)-'WS B-1 - Actual Stmt. AF'!C132</f>
        <v>87641322.620000005</v>
      </c>
      <c r="I35" s="178">
        <f>IF(G35="",0,(E35+G35)/2)</f>
        <v>103446456.81000002</v>
      </c>
    </row>
    <row r="36" spans="1:17">
      <c r="A36" s="76">
        <f>+A35+1</f>
        <v>15</v>
      </c>
      <c r="C36" s="52" t="s">
        <v>518</v>
      </c>
      <c r="D36" s="114" t="str">
        <f>"Ln "&amp;A33&amp;" - ln "&amp;A34&amp;" - ln "&amp;A35&amp;""</f>
        <v>Ln 12 - ln 13 - ln 14</v>
      </c>
      <c r="E36" s="18">
        <f>+E33-E34-E35</f>
        <v>234786.32999998331</v>
      </c>
      <c r="G36" s="18">
        <f>+G33-G34-G35</f>
        <v>340954.82999998331</v>
      </c>
      <c r="I36" s="111">
        <f>+I33-I34-I35</f>
        <v>287870.57999998331</v>
      </c>
    </row>
    <row r="37" spans="1:17" ht="15.75">
      <c r="A37" s="76"/>
      <c r="C37" s="44"/>
      <c r="D37" s="114"/>
      <c r="K37" s="18"/>
      <c r="L37" s="18"/>
      <c r="M37" s="18"/>
      <c r="N37" s="18"/>
      <c r="O37" s="18"/>
      <c r="P37" s="18"/>
    </row>
    <row r="38" spans="1:17">
      <c r="A38" s="76"/>
      <c r="C38" s="52"/>
      <c r="D38" s="114"/>
      <c r="K38" s="18"/>
      <c r="L38" s="18"/>
      <c r="M38" s="18"/>
      <c r="N38" s="18"/>
      <c r="O38" s="18"/>
      <c r="P38" s="18"/>
    </row>
    <row r="39" spans="1:17" ht="15.75">
      <c r="A39" s="76">
        <f>+A36+1</f>
        <v>16</v>
      </c>
      <c r="C39" s="44" t="s">
        <v>514</v>
      </c>
      <c r="D39" s="114"/>
      <c r="K39" s="18"/>
      <c r="L39" s="18"/>
      <c r="M39" s="18"/>
      <c r="N39" s="18"/>
      <c r="O39" s="18"/>
      <c r="P39" s="18"/>
    </row>
    <row r="40" spans="1:17">
      <c r="A40" s="76"/>
      <c r="C40" s="52"/>
      <c r="D40" s="114"/>
      <c r="K40" s="18"/>
      <c r="L40" s="18"/>
      <c r="M40" s="18"/>
      <c r="N40" s="18"/>
      <c r="O40" s="18"/>
      <c r="P40" s="18"/>
    </row>
    <row r="41" spans="1:17">
      <c r="A41" s="76">
        <f>+A39+1</f>
        <v>17</v>
      </c>
      <c r="C41" s="52" t="s">
        <v>517</v>
      </c>
      <c r="D41" s="70" t="s">
        <v>516</v>
      </c>
      <c r="E41" s="688">
        <f>SUM('WS B-2 - Actual Stmt. AG'!Q93:S93)-'WS B-2 - Actual Stmt. AG'!D80</f>
        <v>38570961.609999999</v>
      </c>
      <c r="G41" s="688">
        <f>SUM('WS B-2 - Actual Stmt. AG'!M93:O93)-'WS B-2 - Actual Stmt. AG'!C80</f>
        <v>31798392.509999998</v>
      </c>
      <c r="H41"/>
      <c r="I41" s="111">
        <f>IF(G41="",0,(E41+G41)/2)</f>
        <v>35184677.060000002</v>
      </c>
      <c r="K41" s="18"/>
      <c r="L41" s="18"/>
      <c r="M41" s="18"/>
      <c r="N41" s="18"/>
      <c r="O41" s="18"/>
    </row>
    <row r="42" spans="1:17">
      <c r="A42" s="76">
        <f>+A41+1</f>
        <v>18</v>
      </c>
      <c r="C42" s="52" t="s">
        <v>521</v>
      </c>
      <c r="D42" s="76" t="str">
        <f>"WS B-2 - Actual Stmt. AG Ln. " &amp;'WS B-2 - Actual Stmt. AG'!A94&amp;" (Note 1)"</f>
        <v>WS B-2 - Actual Stmt. AG Ln. 4 (Note 1)</v>
      </c>
      <c r="E42" s="688">
        <f>SUM('WS B-2 - Actual Stmt. AG'!Q94:S94)</f>
        <v>19342225.43</v>
      </c>
      <c r="G42" s="688">
        <f>SUM('WS B-2 - Actual Stmt. AG'!M94:O94)</f>
        <v>18654929.41</v>
      </c>
      <c r="H42"/>
      <c r="I42" s="111">
        <f>IF(G42="",0,(E42+G42)/2)</f>
        <v>18998577.420000002</v>
      </c>
      <c r="K42" s="18"/>
      <c r="L42" s="18"/>
      <c r="M42" s="18"/>
      <c r="N42" s="18"/>
      <c r="O42" s="18"/>
    </row>
    <row r="43" spans="1:17" ht="15">
      <c r="A43" s="76">
        <f>+A42+1</f>
        <v>19</v>
      </c>
      <c r="C43" s="52" t="s">
        <v>522</v>
      </c>
      <c r="D43" s="76" t="str">
        <f>"WS B-2 - Actual Stmt. AG Ln. " &amp;'WS B-2 - Actual Stmt. AG'!A93&amp;" (Note 1)"</f>
        <v>WS B-2 - Actual Stmt. AG Ln. 3 (Note 1)</v>
      </c>
      <c r="E43" s="689">
        <f>('WS B-2 - Actual Stmt. AG'!Q93+'WS B-2 - Actual Stmt. AG'!S93)-('WS B-2 - Actual Stmt. AG'!Q94+'WS B-2 - Actual Stmt. AG'!S94)-'WS B-2 - Actual Stmt. AG'!D80</f>
        <v>2794543.9550401196</v>
      </c>
      <c r="G43" s="689">
        <f>('WS B-2 - Actual Stmt. AG'!M93+'WS B-2 - Actual Stmt. AG'!O93)-('WS B-2 - Actual Stmt. AG'!M94+'WS B-2 - Actual Stmt. AG'!O94)-'WS B-2 - Actual Stmt. AG'!C80</f>
        <v>1142663.3310538456</v>
      </c>
      <c r="I43" s="178">
        <f>IF(G43="",0,(E43+G43)/2)</f>
        <v>1968603.6430469826</v>
      </c>
      <c r="K43" s="18"/>
      <c r="L43" s="18"/>
      <c r="M43" s="18"/>
      <c r="N43" s="18"/>
      <c r="O43" s="18"/>
    </row>
    <row r="44" spans="1:17">
      <c r="A44" s="76">
        <f>+A43+1</f>
        <v>20</v>
      </c>
      <c r="C44" s="52" t="s">
        <v>518</v>
      </c>
      <c r="D44" s="114" t="str">
        <f>"Ln "&amp;A41&amp;" - ln "&amp;A42&amp;" - ln "&amp;A43&amp;""</f>
        <v>Ln 17 - ln 18 - ln 19</v>
      </c>
      <c r="E44" s="18">
        <f>+E41-E42-E43</f>
        <v>16434192.22495988</v>
      </c>
      <c r="G44" s="18">
        <f>+G41-G42-G43</f>
        <v>12000799.768946152</v>
      </c>
      <c r="I44" s="111">
        <f>+I41-I42-I43</f>
        <v>14217495.996953018</v>
      </c>
    </row>
    <row r="45" spans="1:17">
      <c r="A45" s="76"/>
      <c r="C45" s="52"/>
      <c r="D45" s="114"/>
    </row>
    <row r="46" spans="1:17">
      <c r="A46" s="76"/>
      <c r="C46" s="52"/>
      <c r="D46" s="114"/>
    </row>
    <row r="47" spans="1:17" ht="15.75">
      <c r="A47" s="76">
        <f>+A44+1</f>
        <v>21</v>
      </c>
      <c r="C47" s="44" t="s">
        <v>515</v>
      </c>
      <c r="D47" s="114"/>
    </row>
    <row r="48" spans="1:17">
      <c r="A48" s="76"/>
      <c r="C48" s="52"/>
      <c r="D48" s="114"/>
      <c r="K48" s="18"/>
      <c r="L48" s="18"/>
      <c r="M48" s="18"/>
      <c r="N48" s="18"/>
      <c r="O48" s="18"/>
    </row>
    <row r="49" spans="1:15">
      <c r="A49" s="76">
        <f>+A47+1</f>
        <v>22</v>
      </c>
      <c r="C49" s="52" t="s">
        <v>523</v>
      </c>
      <c r="D49" s="70" t="s">
        <v>472</v>
      </c>
      <c r="E49" s="648">
        <f>SUM('WS B-1 - Actual Stmt. AF'!Q163:S163)</f>
        <v>0</v>
      </c>
      <c r="G49" s="648">
        <f>SUM('WS B-1 - Actual Stmt. AF'!M163:O163)</f>
        <v>0</v>
      </c>
      <c r="H49"/>
      <c r="I49" s="111">
        <f>IF(G49="",0,(E49+G49)/2)</f>
        <v>0</v>
      </c>
      <c r="K49" s="18"/>
      <c r="L49" s="18"/>
      <c r="M49" s="18"/>
      <c r="N49" s="18"/>
      <c r="O49" s="18"/>
    </row>
    <row r="50" spans="1:15" ht="15">
      <c r="A50" s="76">
        <f>+A49+1</f>
        <v>23</v>
      </c>
      <c r="C50" s="52" t="s">
        <v>524</v>
      </c>
      <c r="D50" s="76" t="s">
        <v>68</v>
      </c>
      <c r="E50" s="649">
        <v>0</v>
      </c>
      <c r="G50" s="649">
        <v>0</v>
      </c>
      <c r="H50"/>
      <c r="I50" s="178">
        <f>IF(G50="",0,(E50+G50)/2)</f>
        <v>0</v>
      </c>
      <c r="K50" s="18"/>
      <c r="L50" s="18"/>
      <c r="M50" s="18"/>
      <c r="N50" s="18"/>
      <c r="O50" s="18"/>
    </row>
    <row r="51" spans="1:15">
      <c r="A51" s="76">
        <f>+A50+1</f>
        <v>24</v>
      </c>
      <c r="C51" s="52" t="s">
        <v>390</v>
      </c>
      <c r="D51" s="114" t="str">
        <f>"Ln "&amp;A49&amp;" - ln "&amp;A50&amp;""</f>
        <v>Ln 22 - ln 23</v>
      </c>
      <c r="E51" s="18">
        <f>+E49-E50</f>
        <v>0</v>
      </c>
      <c r="G51" s="18">
        <f>+G49-G50</f>
        <v>0</v>
      </c>
      <c r="H51"/>
      <c r="I51" s="111">
        <f>+I49-I50</f>
        <v>0</v>
      </c>
      <c r="K51" s="18"/>
      <c r="L51" s="18"/>
      <c r="M51" s="18"/>
      <c r="N51" s="18"/>
      <c r="O51" s="18"/>
    </row>
    <row r="52" spans="1:15">
      <c r="A52" s="76">
        <f>+A51+1</f>
        <v>25</v>
      </c>
      <c r="C52" s="52" t="s">
        <v>518</v>
      </c>
      <c r="D52" s="76" t="str">
        <f>"WS B-1 - Actual Stmt. AF Ln. " &amp;'WS B-1 - Actual Stmt. AF'!A163&amp;" (Note 1)"</f>
        <v>WS B-1 - Actual Stmt. AF Ln. 21 (Note 1)</v>
      </c>
      <c r="E52" s="648">
        <f>'WS B-1 - Actual Stmt. AF'!R163</f>
        <v>0</v>
      </c>
      <c r="G52" s="648">
        <f>'WS B-1 - Actual Stmt. AF'!N163</f>
        <v>0</v>
      </c>
      <c r="H52"/>
      <c r="I52" s="111">
        <f>IF(G52="",0,(E52+G52)/2)</f>
        <v>0</v>
      </c>
      <c r="K52" s="18"/>
      <c r="L52" s="18"/>
      <c r="M52" s="18"/>
      <c r="N52" s="18"/>
      <c r="O52" s="18"/>
    </row>
    <row r="53" spans="1:15">
      <c r="A53" s="76"/>
      <c r="C53" s="52"/>
      <c r="D53" s="52"/>
      <c r="K53" s="18"/>
      <c r="L53" s="18"/>
      <c r="M53" s="18"/>
      <c r="N53" s="18"/>
      <c r="O53" s="18"/>
    </row>
    <row r="54" spans="1:15">
      <c r="A54" s="58" t="s">
        <v>69</v>
      </c>
      <c r="C54" s="1216" t="s">
        <v>819</v>
      </c>
      <c r="D54" s="1216"/>
      <c r="E54" s="1216"/>
      <c r="F54" s="1216"/>
      <c r="G54" s="1216"/>
      <c r="H54" s="1216"/>
      <c r="I54" s="1216"/>
    </row>
    <row r="55" spans="1:15">
      <c r="A55" s="58"/>
      <c r="C55" s="1216"/>
      <c r="D55" s="1216"/>
      <c r="E55" s="1216"/>
      <c r="F55" s="1216"/>
      <c r="G55" s="1216"/>
      <c r="H55" s="1216"/>
      <c r="I55" s="1216"/>
    </row>
    <row r="56" spans="1:15">
      <c r="A56" s="76"/>
      <c r="C56" s="52"/>
      <c r="D56" s="52"/>
    </row>
    <row r="57" spans="1:15">
      <c r="A57" s="76" t="s">
        <v>70</v>
      </c>
      <c r="B57" s="26" t="s">
        <v>71</v>
      </c>
      <c r="C57" s="52"/>
      <c r="D57" s="52"/>
    </row>
    <row r="58" spans="1:15">
      <c r="B58" s="4"/>
      <c r="C58" s="4"/>
      <c r="D58" s="4"/>
      <c r="E58" s="4"/>
      <c r="F58" s="4"/>
      <c r="G58" s="4"/>
      <c r="H58" s="4"/>
      <c r="I58" s="4"/>
      <c r="J58" s="4"/>
      <c r="K58" s="4"/>
    </row>
    <row r="59" spans="1:15">
      <c r="B59" s="4"/>
      <c r="C59" s="4"/>
      <c r="D59" s="4"/>
      <c r="E59" s="4"/>
      <c r="F59" s="4"/>
      <c r="G59" s="4"/>
      <c r="H59" s="4"/>
      <c r="I59" s="4"/>
      <c r="J59" s="4"/>
      <c r="K59" s="4"/>
    </row>
    <row r="60" spans="1:15">
      <c r="B60" s="4"/>
      <c r="C60" s="4"/>
      <c r="D60" s="4"/>
      <c r="E60" s="4"/>
      <c r="F60" s="4"/>
      <c r="G60" s="4"/>
      <c r="H60" s="4"/>
      <c r="I60" s="4"/>
      <c r="J60" s="4"/>
      <c r="K60" s="4"/>
    </row>
    <row r="61" spans="1:15">
      <c r="B61" s="4"/>
      <c r="C61" s="4"/>
      <c r="D61" s="4"/>
      <c r="E61" s="4"/>
      <c r="F61" s="4"/>
      <c r="G61" s="4"/>
      <c r="H61" s="4"/>
      <c r="I61" s="4"/>
      <c r="J61" s="4"/>
      <c r="K61" s="4"/>
    </row>
    <row r="62" spans="1:15">
      <c r="B62" s="4"/>
      <c r="C62" s="4"/>
      <c r="D62" s="4"/>
      <c r="E62" s="4"/>
      <c r="F62" s="4"/>
      <c r="G62" s="4"/>
      <c r="H62" s="4"/>
      <c r="I62" s="4"/>
      <c r="J62" s="4"/>
      <c r="K62" s="4"/>
    </row>
    <row r="63" spans="1:15">
      <c r="B63" s="4"/>
      <c r="C63" s="4"/>
      <c r="D63" s="4"/>
      <c r="E63" s="4"/>
      <c r="F63" s="4"/>
      <c r="G63" s="4"/>
      <c r="H63" s="4"/>
      <c r="I63" s="4"/>
      <c r="J63" s="4"/>
      <c r="K63" s="4"/>
      <c r="L63" s="4"/>
    </row>
    <row r="64" spans="1:15">
      <c r="B64" s="4"/>
      <c r="C64" s="4"/>
      <c r="D64" s="4"/>
      <c r="E64" s="4"/>
      <c r="F64" s="4"/>
      <c r="G64" s="4"/>
      <c r="H64" s="4"/>
      <c r="I64" s="4"/>
      <c r="J64" s="4"/>
      <c r="K64" s="4"/>
      <c r="L64" s="4"/>
    </row>
    <row r="65" spans="2:12">
      <c r="B65" s="4"/>
      <c r="C65" s="4"/>
      <c r="D65" s="4"/>
      <c r="E65" s="4"/>
      <c r="F65" s="4"/>
      <c r="G65" s="4"/>
      <c r="H65" s="4"/>
      <c r="I65" s="4"/>
      <c r="J65" s="4"/>
      <c r="K65" s="4"/>
      <c r="L65" s="4"/>
    </row>
    <row r="66" spans="2:12">
      <c r="B66" s="4"/>
      <c r="C66" s="4"/>
      <c r="D66" s="4"/>
      <c r="E66" s="4"/>
      <c r="F66" s="4"/>
      <c r="G66" s="4"/>
      <c r="H66" s="4"/>
      <c r="I66" s="4"/>
      <c r="J66" s="4"/>
      <c r="K66" s="4"/>
      <c r="L66" s="4"/>
    </row>
    <row r="67" spans="2:12">
      <c r="B67" s="4"/>
      <c r="C67" s="4"/>
      <c r="D67" s="4"/>
      <c r="E67" s="4"/>
      <c r="F67" s="4"/>
      <c r="G67" s="4"/>
      <c r="H67" s="4"/>
      <c r="I67" s="4"/>
      <c r="J67" s="4"/>
      <c r="K67" s="4"/>
      <c r="L67" s="4"/>
    </row>
    <row r="68" spans="2:12">
      <c r="B68" s="4"/>
      <c r="C68" s="4"/>
      <c r="D68" s="4"/>
      <c r="E68" s="4"/>
      <c r="F68" s="4"/>
      <c r="G68" s="4"/>
      <c r="H68" s="4"/>
      <c r="I68" s="4"/>
      <c r="J68" s="4"/>
      <c r="K68" s="4"/>
      <c r="L68" s="4"/>
    </row>
    <row r="69" spans="2:12">
      <c r="B69" s="4"/>
      <c r="C69" s="4"/>
      <c r="D69" s="4"/>
      <c r="E69" s="4"/>
      <c r="F69" s="4"/>
      <c r="G69" s="4"/>
      <c r="H69" s="4"/>
      <c r="I69" s="4"/>
      <c r="J69" s="4"/>
      <c r="K69" s="4"/>
      <c r="L69" s="4"/>
    </row>
    <row r="70" spans="2:12">
      <c r="B70" s="4"/>
      <c r="C70" s="4"/>
      <c r="D70" s="4"/>
      <c r="E70" s="4"/>
      <c r="F70" s="4"/>
      <c r="G70" s="4"/>
      <c r="H70" s="4"/>
      <c r="I70" s="4"/>
      <c r="J70" s="4"/>
      <c r="K70" s="4"/>
      <c r="L70" s="4"/>
    </row>
    <row r="71" spans="2:12">
      <c r="B71" s="4"/>
      <c r="C71" s="4"/>
      <c r="D71" s="4"/>
      <c r="E71" s="4"/>
      <c r="F71" s="4"/>
      <c r="G71" s="4"/>
      <c r="H71" s="4"/>
      <c r="I71" s="4"/>
      <c r="J71" s="4"/>
      <c r="K71" s="4"/>
      <c r="L71" s="4"/>
    </row>
    <row r="72" spans="2:12">
      <c r="B72" s="4"/>
      <c r="C72" s="4"/>
      <c r="D72" s="4"/>
      <c r="E72" s="4"/>
      <c r="F72" s="4"/>
      <c r="G72" s="4"/>
      <c r="H72" s="4"/>
      <c r="I72" s="4"/>
      <c r="J72" s="4"/>
      <c r="K72" s="4"/>
      <c r="L72" s="4"/>
    </row>
    <row r="73" spans="2:12">
      <c r="B73" s="4"/>
      <c r="C73" s="4"/>
      <c r="D73" s="4"/>
      <c r="E73" s="4"/>
      <c r="F73" s="4"/>
      <c r="G73" s="4"/>
      <c r="H73" s="4"/>
      <c r="I73" s="4"/>
      <c r="J73" s="4"/>
      <c r="K73" s="4"/>
      <c r="L73" s="4"/>
    </row>
    <row r="74" spans="2:12">
      <c r="B74" s="4"/>
      <c r="C74" s="4"/>
      <c r="D74" s="4"/>
      <c r="E74" s="4"/>
      <c r="F74" s="4"/>
      <c r="G74" s="4"/>
      <c r="H74" s="4"/>
      <c r="I74" s="4"/>
      <c r="J74" s="4"/>
      <c r="K74" s="4"/>
      <c r="L74" s="4"/>
    </row>
    <row r="75" spans="2:12">
      <c r="B75" s="4"/>
      <c r="C75" s="4"/>
      <c r="D75" s="4"/>
      <c r="E75" s="4"/>
      <c r="F75" s="4"/>
      <c r="G75" s="4"/>
      <c r="H75" s="4"/>
      <c r="I75" s="4"/>
      <c r="J75" s="4"/>
      <c r="K75" s="4"/>
      <c r="L75" s="4"/>
    </row>
    <row r="76" spans="2:12">
      <c r="B76" s="4"/>
      <c r="C76" s="4"/>
      <c r="D76" s="4"/>
      <c r="E76" s="4"/>
      <c r="F76" s="4"/>
      <c r="G76" s="4"/>
      <c r="H76" s="4"/>
      <c r="I76" s="4"/>
      <c r="J76" s="4"/>
      <c r="K76" s="4"/>
      <c r="L76" s="4"/>
    </row>
    <row r="77" spans="2:12">
      <c r="B77" s="4"/>
      <c r="C77" s="4"/>
      <c r="D77" s="4"/>
      <c r="E77" s="4"/>
      <c r="F77" s="4"/>
      <c r="G77" s="4"/>
      <c r="H77" s="4"/>
      <c r="I77" s="4"/>
      <c r="J77" s="4"/>
      <c r="K77" s="4"/>
      <c r="L77" s="4"/>
    </row>
    <row r="78" spans="2:12">
      <c r="B78" s="4"/>
      <c r="C78" s="4"/>
      <c r="D78" s="4"/>
      <c r="E78" s="4"/>
      <c r="F78" s="4"/>
      <c r="G78" s="4"/>
      <c r="H78" s="4"/>
      <c r="I78" s="4"/>
      <c r="J78" s="4"/>
      <c r="K78" s="4"/>
      <c r="L78" s="4"/>
    </row>
    <row r="79" spans="2:12">
      <c r="B79" s="4"/>
      <c r="C79" s="4"/>
      <c r="D79" s="4"/>
      <c r="E79" s="4"/>
      <c r="F79" s="4"/>
      <c r="G79" s="4"/>
      <c r="H79" s="4"/>
      <c r="I79" s="4"/>
      <c r="J79" s="4"/>
      <c r="K79" s="4"/>
      <c r="L79" s="4"/>
    </row>
    <row r="80" spans="2:12">
      <c r="B80" s="4"/>
      <c r="C80" s="4"/>
      <c r="D80" s="4"/>
      <c r="E80" s="4"/>
      <c r="F80" s="4"/>
      <c r="G80" s="4"/>
      <c r="H80" s="4"/>
      <c r="I80" s="4"/>
      <c r="J80" s="4"/>
      <c r="K80" s="4"/>
      <c r="L80" s="4"/>
    </row>
    <row r="81" spans="2:12">
      <c r="B81" s="4"/>
      <c r="C81" s="4"/>
      <c r="D81" s="4"/>
      <c r="E81" s="4"/>
      <c r="F81" s="4"/>
      <c r="G81" s="4"/>
      <c r="H81" s="4"/>
      <c r="I81" s="4"/>
      <c r="J81" s="4"/>
      <c r="K81" s="4"/>
      <c r="L81" s="4"/>
    </row>
    <row r="82" spans="2:12">
      <c r="B82" s="4"/>
      <c r="C82" s="4"/>
      <c r="D82" s="4"/>
      <c r="E82" s="4"/>
      <c r="F82" s="4"/>
      <c r="G82" s="4"/>
      <c r="H82" s="4"/>
      <c r="I82" s="4"/>
      <c r="J82" s="4"/>
      <c r="K82" s="4"/>
      <c r="L82" s="4"/>
    </row>
    <row r="83" spans="2:12">
      <c r="B83" s="4"/>
      <c r="C83" s="4"/>
      <c r="D83" s="4"/>
      <c r="E83" s="4"/>
      <c r="F83" s="4"/>
      <c r="G83" s="4"/>
      <c r="H83" s="4"/>
      <c r="I83" s="4"/>
      <c r="J83" s="4"/>
      <c r="K83" s="4"/>
      <c r="L83" s="4"/>
    </row>
    <row r="84" spans="2:12">
      <c r="B84" s="4"/>
      <c r="C84" s="4"/>
      <c r="D84" s="4"/>
      <c r="E84" s="4"/>
      <c r="F84" s="4"/>
      <c r="G84" s="4"/>
      <c r="H84" s="4"/>
      <c r="I84" s="4"/>
      <c r="J84" s="4"/>
      <c r="K84" s="4"/>
      <c r="L84" s="4"/>
    </row>
    <row r="85" spans="2:12">
      <c r="B85" s="4"/>
      <c r="C85" s="4"/>
      <c r="D85" s="4"/>
      <c r="E85" s="4"/>
      <c r="F85" s="4"/>
      <c r="G85" s="4"/>
      <c r="H85" s="4"/>
      <c r="I85" s="4"/>
      <c r="J85" s="4"/>
      <c r="K85" s="4"/>
      <c r="L85" s="4"/>
    </row>
    <row r="86" spans="2:12">
      <c r="B86" s="4"/>
      <c r="C86" s="4"/>
      <c r="D86" s="4"/>
      <c r="E86" s="4"/>
      <c r="F86" s="4"/>
      <c r="G86" s="4"/>
      <c r="H86" s="4"/>
      <c r="I86" s="4"/>
      <c r="J86" s="4"/>
      <c r="K86" s="4"/>
      <c r="L86" s="4"/>
    </row>
    <row r="87" spans="2:12">
      <c r="B87" s="4"/>
      <c r="C87" s="4"/>
      <c r="D87" s="4"/>
      <c r="E87" s="4"/>
      <c r="F87" s="4"/>
      <c r="G87" s="4"/>
      <c r="H87" s="4"/>
      <c r="I87" s="4"/>
      <c r="J87" s="4"/>
      <c r="K87" s="4"/>
      <c r="L87" s="4"/>
    </row>
    <row r="88" spans="2:12">
      <c r="B88" s="4"/>
      <c r="C88" s="4"/>
      <c r="D88" s="4"/>
      <c r="E88" s="4"/>
      <c r="F88" s="4"/>
      <c r="G88" s="4"/>
      <c r="H88" s="4"/>
      <c r="I88" s="4"/>
      <c r="J88" s="4"/>
      <c r="K88" s="4"/>
      <c r="L88" s="4"/>
    </row>
    <row r="89" spans="2:12">
      <c r="B89" s="4"/>
      <c r="C89" s="4"/>
      <c r="D89" s="4"/>
      <c r="E89" s="4"/>
      <c r="F89" s="4"/>
      <c r="G89" s="4"/>
      <c r="H89" s="4"/>
      <c r="I89" s="4"/>
      <c r="J89" s="4"/>
      <c r="K89" s="4"/>
      <c r="L89" s="4"/>
    </row>
    <row r="90" spans="2:12">
      <c r="B90" s="4"/>
      <c r="C90" s="4"/>
      <c r="D90" s="4"/>
      <c r="E90" s="4"/>
      <c r="F90" s="4"/>
      <c r="G90" s="4"/>
      <c r="H90" s="4"/>
      <c r="I90" s="4"/>
      <c r="J90" s="4"/>
      <c r="K90" s="4"/>
      <c r="L90" s="4"/>
    </row>
    <row r="91" spans="2:12">
      <c r="B91" s="4"/>
      <c r="C91" s="4"/>
      <c r="D91" s="4"/>
      <c r="E91" s="4"/>
      <c r="F91" s="4"/>
      <c r="G91" s="4"/>
      <c r="H91" s="4"/>
      <c r="I91" s="4"/>
      <c r="J91" s="4"/>
      <c r="K91" s="4"/>
      <c r="L91" s="4"/>
    </row>
    <row r="92" spans="2:12">
      <c r="B92" s="4"/>
      <c r="C92" s="4"/>
      <c r="D92" s="4"/>
      <c r="E92" s="4"/>
      <c r="F92" s="4"/>
      <c r="G92" s="4"/>
      <c r="H92" s="4"/>
      <c r="I92" s="4"/>
      <c r="J92" s="4"/>
      <c r="K92" s="4"/>
      <c r="L92" s="4"/>
    </row>
    <row r="93" spans="2:12">
      <c r="B93" s="4"/>
      <c r="C93" s="4"/>
      <c r="D93" s="4"/>
      <c r="E93" s="4"/>
      <c r="F93" s="4"/>
      <c r="G93" s="4"/>
      <c r="H93" s="4"/>
      <c r="I93" s="4"/>
      <c r="J93" s="4"/>
      <c r="K93" s="4"/>
      <c r="L93" s="4"/>
    </row>
    <row r="94" spans="2:12">
      <c r="B94" s="4"/>
      <c r="C94" s="4"/>
      <c r="D94" s="4"/>
      <c r="E94" s="4"/>
      <c r="F94" s="4"/>
      <c r="G94" s="4"/>
      <c r="H94" s="4"/>
      <c r="I94" s="4"/>
      <c r="J94" s="4"/>
      <c r="K94" s="4"/>
      <c r="L94" s="4"/>
    </row>
    <row r="95" spans="2:12">
      <c r="B95" s="4"/>
      <c r="C95" s="4"/>
      <c r="D95" s="4"/>
      <c r="E95" s="4"/>
      <c r="F95" s="4"/>
      <c r="G95" s="4"/>
      <c r="H95" s="4"/>
      <c r="I95" s="4"/>
      <c r="J95" s="4"/>
      <c r="K95" s="4"/>
      <c r="L95" s="4"/>
    </row>
    <row r="96" spans="2:12">
      <c r="B96" s="4"/>
      <c r="C96" s="4"/>
      <c r="D96" s="4"/>
      <c r="E96" s="4"/>
      <c r="F96" s="4"/>
      <c r="G96" s="4"/>
      <c r="H96" s="4"/>
      <c r="I96" s="4"/>
      <c r="J96" s="4"/>
      <c r="K96" s="4"/>
      <c r="L96" s="4"/>
    </row>
    <row r="97" spans="2:12">
      <c r="B97" s="4"/>
      <c r="C97" s="4"/>
      <c r="D97" s="4"/>
      <c r="E97" s="4"/>
      <c r="F97" s="4"/>
      <c r="G97" s="4"/>
      <c r="H97" s="4"/>
      <c r="I97" s="4"/>
      <c r="J97" s="4"/>
      <c r="K97" s="4"/>
      <c r="L97" s="4"/>
    </row>
    <row r="98" spans="2:12">
      <c r="B98" s="4"/>
      <c r="C98" s="4"/>
      <c r="D98" s="4"/>
      <c r="E98" s="4"/>
      <c r="F98" s="4"/>
      <c r="G98" s="4"/>
      <c r="H98" s="4"/>
      <c r="I98" s="4"/>
      <c r="J98" s="4"/>
      <c r="K98" s="4"/>
      <c r="L98" s="4"/>
    </row>
    <row r="99" spans="2:12">
      <c r="B99" s="4"/>
      <c r="C99" s="4"/>
      <c r="D99" s="4"/>
      <c r="E99" s="4"/>
      <c r="F99" s="4"/>
      <c r="G99" s="4"/>
      <c r="H99" s="4"/>
      <c r="I99" s="4"/>
      <c r="J99" s="4"/>
      <c r="K99" s="4"/>
      <c r="L99" s="4"/>
    </row>
    <row r="100" spans="2:12">
      <c r="B100" s="4"/>
      <c r="C100" s="4"/>
      <c r="D100" s="4"/>
      <c r="E100" s="4"/>
      <c r="F100" s="4"/>
      <c r="G100" s="4"/>
      <c r="H100" s="4"/>
      <c r="I100" s="4"/>
      <c r="J100" s="4"/>
      <c r="K100" s="4"/>
      <c r="L100" s="4"/>
    </row>
    <row r="101" spans="2:12">
      <c r="B101" s="4"/>
      <c r="C101" s="4"/>
      <c r="D101" s="4"/>
      <c r="E101" s="4"/>
      <c r="F101" s="4"/>
      <c r="G101" s="4"/>
      <c r="H101" s="4"/>
      <c r="I101" s="4"/>
      <c r="J101" s="4"/>
      <c r="K101" s="4"/>
      <c r="L101" s="4"/>
    </row>
    <row r="102" spans="2:12">
      <c r="B102" s="4"/>
      <c r="C102" s="4"/>
      <c r="D102" s="4"/>
      <c r="E102" s="4"/>
      <c r="F102" s="4"/>
      <c r="G102" s="4"/>
      <c r="H102" s="4"/>
      <c r="I102" s="4"/>
      <c r="J102" s="4"/>
      <c r="K102" s="4"/>
      <c r="L102" s="4"/>
    </row>
    <row r="103" spans="2:12">
      <c r="B103" s="4"/>
      <c r="C103" s="4"/>
      <c r="D103" s="4"/>
      <c r="E103" s="4"/>
      <c r="F103" s="4"/>
      <c r="G103" s="4"/>
      <c r="H103" s="4"/>
      <c r="I103" s="4"/>
      <c r="J103" s="4"/>
      <c r="K103" s="4"/>
      <c r="L103" s="4"/>
    </row>
    <row r="104" spans="2:12">
      <c r="B104" s="4"/>
      <c r="C104" s="4"/>
      <c r="D104" s="4"/>
      <c r="E104" s="4"/>
      <c r="F104" s="4"/>
      <c r="G104" s="4"/>
      <c r="H104" s="4"/>
      <c r="I104" s="4"/>
      <c r="J104" s="4"/>
      <c r="K104" s="4"/>
      <c r="L104" s="4"/>
    </row>
    <row r="105" spans="2:12">
      <c r="B105" s="4"/>
      <c r="C105" s="4"/>
      <c r="D105" s="4"/>
      <c r="E105" s="4"/>
      <c r="F105" s="4"/>
      <c r="G105" s="4"/>
      <c r="H105" s="4"/>
      <c r="I105" s="4"/>
      <c r="J105" s="4"/>
      <c r="K105" s="4"/>
      <c r="L105" s="4"/>
    </row>
    <row r="106" spans="2:12">
      <c r="B106" s="4"/>
      <c r="C106" s="4"/>
      <c r="D106" s="4"/>
      <c r="E106" s="4"/>
      <c r="F106" s="4"/>
      <c r="G106" s="4"/>
      <c r="H106" s="4"/>
      <c r="I106" s="4"/>
      <c r="J106" s="4"/>
      <c r="K106" s="4"/>
      <c r="L106" s="4"/>
    </row>
    <row r="107" spans="2:12">
      <c r="B107" s="4"/>
      <c r="C107" s="4"/>
      <c r="D107" s="4"/>
      <c r="E107" s="4"/>
      <c r="F107" s="4"/>
      <c r="G107" s="4"/>
      <c r="H107" s="4"/>
      <c r="I107" s="4"/>
      <c r="J107" s="4"/>
      <c r="K107" s="4"/>
      <c r="L107" s="4"/>
    </row>
    <row r="108" spans="2:12">
      <c r="B108" s="4"/>
      <c r="C108" s="4"/>
      <c r="D108" s="4"/>
      <c r="E108" s="4"/>
      <c r="F108" s="4"/>
      <c r="G108" s="4"/>
      <c r="H108" s="4"/>
      <c r="I108" s="4"/>
      <c r="J108" s="4"/>
      <c r="K108" s="4"/>
      <c r="L108" s="4"/>
    </row>
    <row r="109" spans="2:12">
      <c r="B109" s="4"/>
      <c r="C109" s="4"/>
      <c r="D109" s="4"/>
      <c r="E109" s="4"/>
      <c r="F109" s="4"/>
      <c r="G109" s="4"/>
      <c r="H109" s="4"/>
      <c r="I109" s="4"/>
      <c r="J109" s="4"/>
      <c r="K109" s="4"/>
      <c r="L109" s="4"/>
    </row>
    <row r="110" spans="2:12">
      <c r="B110" s="4"/>
      <c r="C110" s="4"/>
      <c r="D110" s="4"/>
      <c r="E110" s="4"/>
      <c r="F110" s="4"/>
      <c r="G110" s="4"/>
      <c r="H110" s="4"/>
      <c r="I110" s="4"/>
      <c r="J110" s="4"/>
      <c r="K110" s="4"/>
      <c r="L110" s="4"/>
    </row>
    <row r="111" spans="2:12">
      <c r="B111" s="4"/>
      <c r="C111" s="4"/>
      <c r="D111" s="4"/>
      <c r="E111" s="4"/>
      <c r="F111" s="4"/>
      <c r="G111" s="4"/>
      <c r="H111" s="4"/>
      <c r="I111" s="4"/>
      <c r="J111" s="4"/>
      <c r="K111" s="4"/>
      <c r="L111" s="4"/>
    </row>
    <row r="112" spans="2:12">
      <c r="B112" s="4"/>
      <c r="C112" s="4"/>
      <c r="D112" s="4"/>
      <c r="E112" s="4"/>
      <c r="F112" s="4"/>
      <c r="G112" s="4"/>
      <c r="H112" s="4"/>
      <c r="I112" s="4"/>
      <c r="J112" s="4"/>
      <c r="K112" s="4"/>
      <c r="L112" s="4"/>
    </row>
    <row r="113" spans="2:12">
      <c r="B113" s="4"/>
      <c r="C113" s="4"/>
      <c r="D113" s="4"/>
      <c r="E113" s="4"/>
      <c r="F113" s="4"/>
      <c r="G113" s="4"/>
      <c r="H113" s="4"/>
      <c r="I113" s="4"/>
      <c r="J113" s="4"/>
      <c r="K113" s="4"/>
      <c r="L113" s="4"/>
    </row>
    <row r="114" spans="2:12">
      <c r="B114" s="4"/>
      <c r="C114" s="4"/>
      <c r="D114" s="4"/>
      <c r="E114" s="4"/>
      <c r="F114" s="4"/>
      <c r="G114" s="4"/>
      <c r="H114" s="4"/>
      <c r="I114" s="4"/>
      <c r="J114" s="4"/>
      <c r="K114" s="4"/>
      <c r="L114" s="4"/>
    </row>
    <row r="115" spans="2:12">
      <c r="B115" s="4"/>
      <c r="C115" s="4"/>
      <c r="D115" s="4"/>
      <c r="E115" s="4"/>
      <c r="F115" s="4"/>
      <c r="G115" s="4"/>
      <c r="H115" s="4"/>
      <c r="I115" s="4"/>
      <c r="J115" s="4"/>
      <c r="K115" s="4"/>
      <c r="L115" s="4"/>
    </row>
    <row r="116" spans="2:12">
      <c r="B116" s="4"/>
      <c r="C116" s="4"/>
      <c r="D116" s="4"/>
      <c r="E116" s="4"/>
      <c r="F116" s="4"/>
      <c r="G116" s="4"/>
      <c r="H116" s="4"/>
      <c r="I116" s="4"/>
      <c r="J116" s="4"/>
      <c r="K116" s="4"/>
      <c r="L116" s="4"/>
    </row>
    <row r="117" spans="2:12">
      <c r="B117" s="4"/>
      <c r="C117" s="4"/>
      <c r="D117" s="4"/>
      <c r="E117" s="4"/>
      <c r="F117" s="4"/>
      <c r="G117" s="4"/>
      <c r="H117" s="4"/>
      <c r="I117" s="4"/>
      <c r="J117" s="4"/>
      <c r="K117" s="4"/>
      <c r="L117" s="4"/>
    </row>
    <row r="118" spans="2:12">
      <c r="B118" s="4"/>
      <c r="C118" s="4"/>
      <c r="D118" s="4"/>
      <c r="E118" s="4"/>
      <c r="F118" s="4"/>
      <c r="G118" s="4"/>
      <c r="H118" s="4"/>
      <c r="I118" s="4"/>
      <c r="J118" s="4"/>
      <c r="K118" s="4"/>
      <c r="L118" s="4"/>
    </row>
    <row r="119" spans="2:12">
      <c r="B119" s="4"/>
      <c r="C119" s="4"/>
      <c r="D119" s="4"/>
      <c r="E119" s="4"/>
      <c r="F119" s="4"/>
      <c r="G119" s="4"/>
      <c r="H119" s="4"/>
      <c r="I119" s="4"/>
      <c r="J119" s="4"/>
      <c r="K119" s="4"/>
      <c r="L119" s="4"/>
    </row>
    <row r="120" spans="2:12">
      <c r="B120" s="4"/>
      <c r="C120" s="4"/>
      <c r="D120" s="4"/>
      <c r="E120" s="4"/>
      <c r="F120" s="4"/>
      <c r="G120" s="4"/>
      <c r="H120" s="4"/>
      <c r="I120" s="4"/>
      <c r="J120" s="4"/>
      <c r="K120" s="4"/>
      <c r="L120" s="4"/>
    </row>
    <row r="121" spans="2:12">
      <c r="B121" s="4"/>
      <c r="C121" s="4"/>
      <c r="D121" s="4"/>
      <c r="E121" s="4"/>
      <c r="F121" s="4"/>
      <c r="G121" s="4"/>
      <c r="H121" s="4"/>
      <c r="I121" s="4"/>
      <c r="J121" s="4"/>
      <c r="K121" s="4"/>
      <c r="L121" s="4"/>
    </row>
    <row r="122" spans="2:12">
      <c r="B122" s="4"/>
      <c r="C122" s="4"/>
      <c r="D122" s="4"/>
      <c r="E122" s="4"/>
      <c r="F122" s="4"/>
      <c r="G122" s="4"/>
      <c r="H122" s="4"/>
      <c r="I122" s="4"/>
      <c r="J122" s="4"/>
      <c r="K122" s="4"/>
      <c r="L122" s="4"/>
    </row>
    <row r="123" spans="2:12">
      <c r="B123" s="4"/>
      <c r="C123" s="4"/>
      <c r="D123" s="4"/>
      <c r="E123" s="4"/>
      <c r="F123" s="4"/>
      <c r="G123" s="4"/>
      <c r="H123" s="4"/>
      <c r="I123" s="4"/>
      <c r="J123" s="4"/>
      <c r="K123" s="4"/>
      <c r="L123" s="4"/>
    </row>
    <row r="124" spans="2:12">
      <c r="B124" s="4"/>
      <c r="C124" s="4"/>
      <c r="D124" s="4"/>
      <c r="E124" s="4"/>
      <c r="F124" s="4"/>
      <c r="G124" s="4"/>
      <c r="H124" s="4"/>
      <c r="I124" s="4"/>
      <c r="J124" s="4"/>
      <c r="K124" s="4"/>
      <c r="L124" s="4"/>
    </row>
    <row r="125" spans="2:12">
      <c r="B125" s="4"/>
      <c r="C125" s="4"/>
      <c r="D125" s="4"/>
      <c r="E125" s="4"/>
      <c r="F125" s="4"/>
      <c r="G125" s="4"/>
      <c r="H125" s="4"/>
      <c r="I125" s="4"/>
      <c r="J125" s="4"/>
      <c r="K125" s="4"/>
      <c r="L125" s="4"/>
    </row>
    <row r="126" spans="2:12">
      <c r="B126" s="4"/>
      <c r="C126" s="4"/>
      <c r="D126" s="4"/>
      <c r="E126" s="4"/>
      <c r="F126" s="4"/>
      <c r="G126" s="4"/>
      <c r="H126" s="4"/>
      <c r="I126" s="4"/>
      <c r="J126" s="4"/>
      <c r="K126" s="4"/>
      <c r="L126" s="4"/>
    </row>
    <row r="127" spans="2:12">
      <c r="B127" s="4"/>
      <c r="C127" s="4"/>
      <c r="D127" s="4"/>
      <c r="E127" s="4"/>
      <c r="F127" s="4"/>
      <c r="G127" s="4"/>
      <c r="H127" s="4"/>
      <c r="I127" s="4"/>
      <c r="J127" s="4"/>
      <c r="K127" s="4"/>
      <c r="L127" s="4"/>
    </row>
    <row r="128" spans="2:12">
      <c r="B128" s="4"/>
      <c r="C128" s="4"/>
      <c r="D128" s="4"/>
      <c r="E128" s="4"/>
      <c r="F128" s="4"/>
      <c r="G128" s="4"/>
      <c r="H128" s="4"/>
      <c r="I128" s="4"/>
      <c r="J128" s="4"/>
      <c r="K128" s="4"/>
      <c r="L128" s="4"/>
    </row>
    <row r="129" spans="2:12">
      <c r="B129" s="4"/>
      <c r="C129" s="4"/>
      <c r="D129" s="4"/>
      <c r="E129" s="4"/>
      <c r="F129" s="4"/>
      <c r="G129" s="4"/>
      <c r="H129" s="4"/>
      <c r="I129" s="4"/>
      <c r="J129" s="4"/>
      <c r="K129" s="4"/>
      <c r="L129" s="4"/>
    </row>
    <row r="130" spans="2:12">
      <c r="B130" s="4"/>
      <c r="C130" s="4"/>
      <c r="D130" s="4"/>
      <c r="E130" s="4"/>
      <c r="F130" s="4"/>
      <c r="G130" s="4"/>
      <c r="H130" s="4"/>
      <c r="I130" s="4"/>
      <c r="J130" s="4"/>
      <c r="K130" s="4"/>
      <c r="L130" s="4"/>
    </row>
    <row r="131" spans="2:12">
      <c r="B131" s="4"/>
      <c r="C131" s="4"/>
      <c r="D131" s="4"/>
      <c r="E131" s="4"/>
      <c r="F131" s="4"/>
      <c r="G131" s="4"/>
      <c r="H131" s="4"/>
      <c r="I131" s="4"/>
      <c r="J131" s="4"/>
      <c r="K131" s="4"/>
      <c r="L131" s="4"/>
    </row>
    <row r="132" spans="2:12">
      <c r="B132" s="4"/>
      <c r="C132" s="4"/>
      <c r="D132" s="4"/>
      <c r="E132" s="4"/>
      <c r="F132" s="4"/>
      <c r="G132" s="4"/>
      <c r="H132" s="4"/>
      <c r="I132" s="4"/>
      <c r="J132" s="4"/>
      <c r="K132" s="4"/>
      <c r="L132" s="4"/>
    </row>
    <row r="133" spans="2:12">
      <c r="B133" s="4"/>
      <c r="C133" s="4"/>
      <c r="D133" s="4"/>
      <c r="E133" s="4"/>
      <c r="F133" s="4"/>
      <c r="G133" s="4"/>
      <c r="H133" s="4"/>
      <c r="I133" s="4"/>
      <c r="J133" s="4"/>
      <c r="K133" s="4"/>
      <c r="L133" s="4"/>
    </row>
    <row r="134" spans="2:12">
      <c r="B134" s="4"/>
      <c r="C134" s="4"/>
      <c r="D134" s="4"/>
      <c r="E134" s="4"/>
      <c r="F134" s="4"/>
      <c r="G134" s="4"/>
      <c r="H134" s="4"/>
      <c r="I134" s="4"/>
      <c r="J134" s="4"/>
      <c r="K134" s="4"/>
      <c r="L134" s="4"/>
    </row>
    <row r="135" spans="2:12">
      <c r="B135" s="4"/>
      <c r="C135" s="4"/>
      <c r="D135" s="4"/>
      <c r="E135" s="4"/>
      <c r="F135" s="4"/>
      <c r="G135" s="4"/>
      <c r="H135" s="4"/>
      <c r="I135" s="4"/>
      <c r="J135" s="4"/>
      <c r="K135" s="4"/>
      <c r="L135" s="4"/>
    </row>
    <row r="136" spans="2:12">
      <c r="B136" s="4"/>
      <c r="C136" s="4"/>
      <c r="D136" s="4"/>
      <c r="E136" s="4"/>
      <c r="F136" s="4"/>
      <c r="G136" s="4"/>
      <c r="H136" s="4"/>
      <c r="I136" s="4"/>
      <c r="J136" s="4"/>
      <c r="K136" s="4"/>
      <c r="L136" s="4"/>
    </row>
    <row r="137" spans="2:12">
      <c r="B137" s="4"/>
      <c r="C137" s="4"/>
      <c r="D137" s="4"/>
      <c r="E137" s="4"/>
      <c r="F137" s="4"/>
      <c r="G137" s="4"/>
      <c r="H137" s="4"/>
      <c r="I137" s="4"/>
      <c r="J137" s="4"/>
      <c r="K137" s="4"/>
      <c r="L137" s="4"/>
    </row>
    <row r="138" spans="2:12">
      <c r="B138" s="4"/>
      <c r="C138" s="4"/>
      <c r="D138" s="4"/>
      <c r="E138" s="4"/>
      <c r="F138" s="4"/>
      <c r="G138" s="4"/>
      <c r="H138" s="4"/>
      <c r="I138" s="4"/>
      <c r="J138" s="4"/>
      <c r="K138" s="4"/>
      <c r="L138" s="4"/>
    </row>
    <row r="139" spans="2:12">
      <c r="B139" s="4"/>
      <c r="C139" s="4"/>
      <c r="D139" s="4"/>
      <c r="E139" s="4"/>
      <c r="F139" s="4"/>
      <c r="G139" s="4"/>
      <c r="H139" s="4"/>
      <c r="I139" s="4"/>
      <c r="J139" s="4"/>
      <c r="K139" s="4"/>
      <c r="L139" s="4"/>
    </row>
    <row r="140" spans="2:12">
      <c r="B140" s="4"/>
      <c r="C140" s="4"/>
      <c r="D140" s="4"/>
      <c r="E140" s="4"/>
      <c r="F140" s="4"/>
      <c r="G140" s="4"/>
      <c r="H140" s="4"/>
      <c r="I140" s="4"/>
      <c r="J140" s="4"/>
      <c r="K140" s="4"/>
      <c r="L140" s="4"/>
    </row>
    <row r="141" spans="2:12">
      <c r="B141" s="4"/>
      <c r="C141" s="4"/>
      <c r="D141" s="4"/>
      <c r="E141" s="4"/>
      <c r="F141" s="4"/>
      <c r="G141" s="4"/>
      <c r="H141" s="4"/>
      <c r="I141" s="4"/>
      <c r="J141" s="4"/>
      <c r="K141" s="4"/>
      <c r="L141" s="4"/>
    </row>
    <row r="142" spans="2:12">
      <c r="B142" s="4"/>
      <c r="C142" s="4"/>
      <c r="D142" s="4"/>
      <c r="E142" s="4"/>
      <c r="F142" s="4"/>
      <c r="G142" s="4" t="s">
        <v>116</v>
      </c>
      <c r="H142" s="4"/>
      <c r="I142" s="4"/>
      <c r="J142" s="4"/>
      <c r="K142" s="4"/>
      <c r="L142" s="4"/>
    </row>
    <row r="143" spans="2:12">
      <c r="B143" s="4"/>
      <c r="C143" s="4"/>
      <c r="D143" s="4"/>
      <c r="E143" s="4"/>
      <c r="F143" s="4"/>
      <c r="G143" s="4"/>
      <c r="H143" s="4"/>
      <c r="I143" s="4"/>
      <c r="J143" s="4"/>
      <c r="K143" s="4"/>
      <c r="L143" s="4"/>
    </row>
    <row r="144" spans="2:12">
      <c r="B144" s="4"/>
      <c r="C144" s="4"/>
      <c r="D144" s="4"/>
      <c r="E144" s="4"/>
      <c r="F144" s="4"/>
      <c r="G144" s="4"/>
      <c r="H144" s="4"/>
      <c r="I144" s="4"/>
      <c r="J144" s="4"/>
      <c r="K144" s="4"/>
      <c r="L144" s="4"/>
    </row>
    <row r="145" spans="2:12">
      <c r="B145" s="4"/>
      <c r="C145" s="4"/>
      <c r="D145" s="4"/>
      <c r="E145" s="4"/>
      <c r="F145" s="4"/>
      <c r="G145" s="4"/>
      <c r="H145" s="4"/>
      <c r="I145" s="4"/>
      <c r="J145" s="4"/>
      <c r="K145" s="4"/>
      <c r="L145" s="4"/>
    </row>
    <row r="146" spans="2:12">
      <c r="B146" s="4"/>
      <c r="C146" s="4"/>
      <c r="D146" s="4"/>
      <c r="E146" s="4"/>
      <c r="F146" s="4"/>
      <c r="G146" s="4"/>
      <c r="H146" s="4"/>
      <c r="I146" s="4"/>
      <c r="J146" s="4"/>
      <c r="K146" s="4"/>
      <c r="L146" s="4"/>
    </row>
    <row r="147" spans="2:12">
      <c r="B147" s="4"/>
      <c r="C147" s="4"/>
      <c r="D147" s="4"/>
      <c r="E147" s="4"/>
      <c r="F147" s="4"/>
      <c r="G147" s="4"/>
      <c r="H147" s="4"/>
      <c r="I147" s="4"/>
      <c r="J147" s="4"/>
      <c r="K147" s="4"/>
      <c r="L147" s="4"/>
    </row>
    <row r="148" spans="2:12">
      <c r="B148" s="4"/>
      <c r="C148" s="4"/>
      <c r="D148" s="4"/>
      <c r="E148" s="4"/>
      <c r="F148" s="4"/>
      <c r="G148" s="4"/>
      <c r="H148" s="4"/>
      <c r="I148" s="4"/>
      <c r="J148" s="4"/>
      <c r="K148" s="4"/>
      <c r="L148" s="4"/>
    </row>
    <row r="149" spans="2:12">
      <c r="B149" s="4"/>
      <c r="C149" s="4"/>
      <c r="D149" s="4"/>
      <c r="E149" s="4"/>
      <c r="F149" s="4"/>
      <c r="G149" s="4"/>
      <c r="H149" s="4"/>
      <c r="I149" s="4"/>
      <c r="J149" s="4"/>
      <c r="K149" s="4"/>
      <c r="L149" s="4"/>
    </row>
    <row r="150" spans="2:12">
      <c r="B150" s="4"/>
      <c r="C150" s="4"/>
      <c r="D150" s="4"/>
      <c r="E150" s="4"/>
      <c r="F150" s="4"/>
      <c r="G150" s="4"/>
      <c r="H150" s="4"/>
      <c r="I150" s="4"/>
      <c r="J150" s="4"/>
      <c r="K150" s="4"/>
      <c r="L150" s="4"/>
    </row>
    <row r="151" spans="2:12">
      <c r="B151" s="4"/>
      <c r="C151" s="4"/>
      <c r="D151" s="4"/>
      <c r="E151" s="4"/>
      <c r="F151" s="4"/>
      <c r="G151" s="4"/>
      <c r="H151" s="4"/>
      <c r="I151" s="4"/>
      <c r="J151" s="4"/>
      <c r="K151" s="4"/>
      <c r="L151" s="4"/>
    </row>
    <row r="152" spans="2:12">
      <c r="B152" s="4"/>
      <c r="C152" s="4"/>
      <c r="D152" s="4"/>
      <c r="E152" s="4"/>
      <c r="F152" s="4"/>
      <c r="G152" s="4"/>
      <c r="H152" s="4"/>
      <c r="I152" s="4"/>
      <c r="J152" s="4"/>
      <c r="K152" s="4"/>
      <c r="L152" s="4"/>
    </row>
    <row r="153" spans="2:12">
      <c r="B153" s="4"/>
      <c r="C153" s="4"/>
      <c r="D153" s="4"/>
      <c r="E153" s="4"/>
      <c r="F153" s="4"/>
      <c r="G153" s="4"/>
      <c r="H153" s="4"/>
      <c r="I153" s="4"/>
      <c r="J153" s="4"/>
      <c r="K153" s="4"/>
      <c r="L153" s="4"/>
    </row>
    <row r="154" spans="2:12">
      <c r="B154" s="4"/>
      <c r="C154" s="4"/>
      <c r="D154" s="4"/>
      <c r="E154" s="4"/>
      <c r="F154" s="4"/>
      <c r="G154" s="4"/>
      <c r="H154" s="4"/>
      <c r="I154" s="4"/>
      <c r="J154" s="4"/>
      <c r="K154" s="4"/>
      <c r="L154" s="4"/>
    </row>
    <row r="155" spans="2:12">
      <c r="B155" s="4"/>
      <c r="C155" s="4"/>
      <c r="D155" s="4"/>
      <c r="E155" s="4"/>
      <c r="F155" s="4"/>
      <c r="G155" s="4"/>
      <c r="H155" s="4"/>
      <c r="I155" s="4"/>
      <c r="J155" s="4"/>
      <c r="K155" s="4"/>
      <c r="L155" s="4"/>
    </row>
    <row r="156" spans="2:12">
      <c r="B156" s="4"/>
      <c r="C156" s="4"/>
      <c r="D156" s="4"/>
      <c r="E156" s="4"/>
      <c r="F156" s="4"/>
      <c r="G156" s="4"/>
      <c r="H156" s="4"/>
      <c r="I156" s="4"/>
      <c r="J156" s="4"/>
      <c r="K156" s="4"/>
      <c r="L156" s="4"/>
    </row>
    <row r="157" spans="2:12">
      <c r="B157" s="4"/>
      <c r="C157" s="4"/>
      <c r="D157" s="4"/>
      <c r="E157" s="4"/>
      <c r="F157" s="4"/>
      <c r="G157" s="4"/>
      <c r="H157" s="4"/>
      <c r="I157" s="4"/>
      <c r="J157" s="4"/>
      <c r="K157" s="4"/>
      <c r="L157" s="4"/>
    </row>
    <row r="158" spans="2:12">
      <c r="B158" s="4"/>
      <c r="C158" s="4"/>
      <c r="D158" s="4"/>
      <c r="E158" s="4"/>
      <c r="F158" s="4"/>
      <c r="G158" s="4"/>
      <c r="H158" s="4"/>
      <c r="I158" s="4"/>
      <c r="J158" s="4"/>
      <c r="K158" s="4"/>
      <c r="L158" s="4"/>
    </row>
    <row r="159" spans="2:12">
      <c r="B159" s="4"/>
      <c r="C159" s="4"/>
      <c r="D159" s="4"/>
      <c r="E159" s="4"/>
      <c r="F159" s="4"/>
      <c r="G159" s="4"/>
      <c r="H159" s="4"/>
      <c r="I159" s="4"/>
      <c r="J159" s="4"/>
      <c r="K159" s="4"/>
      <c r="L159" s="4"/>
    </row>
    <row r="160" spans="2:12">
      <c r="B160" s="4"/>
      <c r="C160" s="4"/>
      <c r="D160" s="4"/>
      <c r="E160" s="4"/>
      <c r="F160" s="4"/>
      <c r="G160" s="4"/>
      <c r="H160" s="4"/>
      <c r="I160" s="4"/>
      <c r="J160" s="4"/>
      <c r="K160" s="4"/>
      <c r="L160" s="4"/>
    </row>
    <row r="161" spans="2:12">
      <c r="B161" s="4"/>
      <c r="C161" s="4"/>
      <c r="D161" s="4"/>
      <c r="E161" s="4"/>
      <c r="F161" s="4"/>
      <c r="G161" s="4"/>
      <c r="H161" s="4"/>
      <c r="I161" s="4"/>
      <c r="J161" s="4"/>
      <c r="K161" s="4"/>
      <c r="L161" s="4"/>
    </row>
    <row r="162" spans="2:12">
      <c r="B162" s="4"/>
      <c r="C162" s="4"/>
      <c r="D162" s="4"/>
      <c r="E162" s="4"/>
      <c r="F162" s="4"/>
      <c r="G162" s="4"/>
      <c r="H162" s="4"/>
      <c r="I162" s="4"/>
      <c r="J162" s="4"/>
      <c r="K162" s="4"/>
      <c r="L162" s="4"/>
    </row>
    <row r="163" spans="2:12">
      <c r="B163" s="4"/>
      <c r="C163" s="4"/>
      <c r="D163" s="4"/>
      <c r="E163" s="4"/>
      <c r="F163" s="4"/>
      <c r="G163" s="4"/>
      <c r="H163" s="4"/>
      <c r="I163" s="4"/>
      <c r="J163" s="4"/>
      <c r="K163" s="4"/>
      <c r="L163" s="4"/>
    </row>
    <row r="164" spans="2:12">
      <c r="B164" s="4"/>
      <c r="C164" s="4"/>
      <c r="D164" s="4"/>
      <c r="E164" s="4"/>
      <c r="F164" s="4"/>
      <c r="G164" s="4"/>
      <c r="H164" s="4"/>
      <c r="I164" s="4"/>
      <c r="J164" s="4"/>
      <c r="K164" s="4"/>
      <c r="L164" s="4"/>
    </row>
    <row r="165" spans="2:12">
      <c r="B165" s="4"/>
      <c r="C165" s="4"/>
      <c r="D165" s="4"/>
      <c r="E165" s="4"/>
      <c r="F165" s="4"/>
      <c r="G165" s="4"/>
      <c r="H165" s="4"/>
      <c r="I165" s="4"/>
      <c r="J165" s="4"/>
      <c r="K165" s="4"/>
      <c r="L165" s="4"/>
    </row>
    <row r="166" spans="2:12">
      <c r="B166" s="4"/>
      <c r="C166" s="4"/>
      <c r="D166" s="4"/>
      <c r="E166" s="4"/>
      <c r="F166" s="4"/>
      <c r="G166" s="4"/>
      <c r="H166" s="4"/>
      <c r="I166" s="4"/>
      <c r="J166" s="4"/>
      <c r="K166" s="4"/>
      <c r="L166" s="4"/>
    </row>
    <row r="167" spans="2:12">
      <c r="B167" s="4"/>
      <c r="C167" s="4"/>
      <c r="D167" s="4"/>
      <c r="E167" s="4"/>
      <c r="F167" s="4"/>
      <c r="G167" s="4"/>
      <c r="H167" s="4"/>
      <c r="I167" s="4"/>
      <c r="J167" s="4"/>
      <c r="K167" s="4"/>
      <c r="L167" s="4"/>
    </row>
    <row r="168" spans="2:12">
      <c r="B168" s="4"/>
      <c r="C168" s="4"/>
      <c r="D168" s="4"/>
      <c r="E168" s="4"/>
      <c r="F168" s="4"/>
      <c r="G168" s="4"/>
      <c r="H168" s="4"/>
      <c r="I168" s="4"/>
      <c r="J168" s="4"/>
      <c r="K168" s="4"/>
      <c r="L168" s="4"/>
    </row>
    <row r="169" spans="2:12">
      <c r="B169" s="4"/>
      <c r="C169" s="4"/>
      <c r="D169" s="4"/>
      <c r="E169" s="4"/>
      <c r="F169" s="4"/>
      <c r="G169" s="4"/>
      <c r="H169" s="4"/>
      <c r="I169" s="4"/>
      <c r="J169" s="4"/>
      <c r="K169" s="4"/>
      <c r="L169" s="4"/>
    </row>
    <row r="170" spans="2:12">
      <c r="B170" s="4"/>
      <c r="C170" s="4"/>
      <c r="D170" s="4"/>
      <c r="E170" s="4"/>
      <c r="F170" s="4"/>
      <c r="G170" s="4"/>
      <c r="H170" s="4"/>
      <c r="I170" s="4"/>
      <c r="J170" s="4"/>
      <c r="K170" s="4"/>
      <c r="L170" s="4"/>
    </row>
    <row r="171" spans="2:12">
      <c r="B171" s="4"/>
      <c r="C171" s="4"/>
      <c r="D171" s="4"/>
      <c r="E171" s="4"/>
      <c r="F171" s="4"/>
      <c r="G171" s="4"/>
      <c r="H171" s="4"/>
      <c r="I171" s="4"/>
      <c r="J171" s="4"/>
      <c r="K171" s="4"/>
      <c r="L171" s="4"/>
    </row>
    <row r="172" spans="2:12">
      <c r="B172" s="4"/>
      <c r="C172" s="4"/>
      <c r="D172" s="4"/>
      <c r="E172" s="4"/>
      <c r="F172" s="4"/>
      <c r="G172" s="4"/>
      <c r="H172" s="4"/>
      <c r="I172" s="4"/>
      <c r="J172" s="4"/>
      <c r="K172" s="4"/>
      <c r="L172" s="4"/>
    </row>
    <row r="173" spans="2:12">
      <c r="B173" s="4"/>
      <c r="C173" s="4"/>
      <c r="D173" s="4"/>
      <c r="E173" s="4"/>
      <c r="F173" s="4"/>
      <c r="G173" s="4"/>
      <c r="H173" s="4"/>
      <c r="I173" s="4"/>
      <c r="J173" s="4"/>
      <c r="K173" s="4"/>
      <c r="L173" s="4"/>
    </row>
    <row r="174" spans="2:12">
      <c r="B174" s="4"/>
      <c r="C174" s="4"/>
      <c r="D174" s="4"/>
      <c r="E174" s="4"/>
      <c r="F174" s="4"/>
      <c r="G174" s="4"/>
      <c r="H174" s="4"/>
      <c r="I174" s="4"/>
      <c r="J174" s="4"/>
      <c r="K174" s="4"/>
      <c r="L174" s="4"/>
    </row>
    <row r="175" spans="2:12">
      <c r="B175" s="4"/>
      <c r="C175" s="4"/>
      <c r="D175" s="4"/>
      <c r="E175" s="4"/>
      <c r="F175" s="4"/>
      <c r="G175" s="4"/>
      <c r="H175" s="4"/>
      <c r="I175" s="4"/>
      <c r="J175" s="4"/>
      <c r="K175" s="4"/>
      <c r="L175" s="4"/>
    </row>
    <row r="176" spans="2:12">
      <c r="B176" s="4"/>
      <c r="C176" s="4"/>
      <c r="D176" s="4"/>
      <c r="E176" s="4"/>
      <c r="F176" s="4"/>
      <c r="G176" s="4"/>
      <c r="H176" s="4"/>
      <c r="I176" s="4"/>
      <c r="J176" s="4"/>
      <c r="K176" s="4"/>
      <c r="L176" s="4"/>
    </row>
    <row r="177" spans="2:12">
      <c r="B177" s="4"/>
      <c r="C177" s="4"/>
      <c r="D177" s="4"/>
      <c r="E177" s="4"/>
      <c r="F177" s="4"/>
      <c r="G177" s="4"/>
      <c r="H177" s="4"/>
      <c r="I177" s="4"/>
      <c r="J177" s="4"/>
      <c r="K177" s="4"/>
      <c r="L177" s="4"/>
    </row>
    <row r="178" spans="2:12">
      <c r="B178" s="4"/>
      <c r="C178" s="4"/>
      <c r="D178" s="4"/>
      <c r="E178" s="4"/>
      <c r="F178" s="4"/>
      <c r="G178" s="4"/>
      <c r="H178" s="4"/>
      <c r="I178" s="4"/>
      <c r="J178" s="4"/>
      <c r="K178" s="4"/>
      <c r="L178" s="4"/>
    </row>
    <row r="179" spans="2:12">
      <c r="B179" s="4"/>
      <c r="C179" s="4"/>
      <c r="D179" s="4"/>
      <c r="E179" s="4"/>
      <c r="F179" s="4"/>
      <c r="G179" s="4"/>
      <c r="H179" s="4"/>
      <c r="I179" s="4"/>
      <c r="J179" s="4"/>
      <c r="K179" s="4"/>
      <c r="L179" s="4"/>
    </row>
    <row r="180" spans="2:12">
      <c r="B180" s="4"/>
      <c r="C180" s="4"/>
      <c r="D180" s="4"/>
      <c r="E180" s="4"/>
      <c r="F180" s="4"/>
      <c r="G180" s="4"/>
      <c r="H180" s="4"/>
      <c r="I180" s="4"/>
      <c r="J180" s="4"/>
      <c r="K180" s="4"/>
      <c r="L180" s="4"/>
    </row>
    <row r="181" spans="2:12">
      <c r="B181" s="4"/>
      <c r="C181" s="4"/>
      <c r="D181" s="4"/>
      <c r="E181" s="4"/>
      <c r="F181" s="4"/>
      <c r="G181" s="4"/>
      <c r="H181" s="4"/>
      <c r="I181" s="4"/>
      <c r="J181" s="4"/>
      <c r="K181" s="4"/>
      <c r="L181" s="4"/>
    </row>
    <row r="182" spans="2:12">
      <c r="B182" s="4"/>
      <c r="C182" s="4"/>
      <c r="D182" s="4"/>
      <c r="E182" s="4"/>
      <c r="F182" s="4"/>
      <c r="G182" s="4"/>
      <c r="H182" s="4"/>
      <c r="I182" s="4"/>
      <c r="J182" s="4"/>
      <c r="K182" s="4"/>
      <c r="L182" s="4"/>
    </row>
    <row r="183" spans="2:12">
      <c r="B183" s="4"/>
      <c r="C183" s="4"/>
      <c r="D183" s="4"/>
      <c r="E183" s="4"/>
      <c r="F183" s="4"/>
      <c r="G183" s="4"/>
      <c r="H183" s="4"/>
      <c r="I183" s="4"/>
      <c r="J183" s="4"/>
      <c r="K183" s="4"/>
      <c r="L183" s="4"/>
    </row>
    <row r="184" spans="2:12">
      <c r="B184" s="4"/>
      <c r="C184" s="4"/>
      <c r="D184" s="4"/>
      <c r="E184" s="4"/>
      <c r="F184" s="4"/>
      <c r="G184" s="4"/>
      <c r="H184" s="4"/>
      <c r="I184" s="4"/>
      <c r="J184" s="4"/>
      <c r="K184" s="4"/>
      <c r="L184" s="4"/>
    </row>
    <row r="185" spans="2:12">
      <c r="B185" s="4"/>
      <c r="C185" s="4"/>
      <c r="D185" s="4"/>
      <c r="E185" s="4"/>
      <c r="F185" s="4"/>
      <c r="G185" s="4"/>
      <c r="H185" s="4"/>
      <c r="I185" s="4"/>
      <c r="J185" s="4"/>
      <c r="K185" s="4"/>
      <c r="L185" s="4"/>
    </row>
    <row r="186" spans="2:12">
      <c r="B186" s="4"/>
      <c r="C186" s="4"/>
      <c r="D186" s="4"/>
      <c r="E186" s="4"/>
      <c r="F186" s="4"/>
      <c r="G186" s="4"/>
      <c r="H186" s="4"/>
      <c r="I186" s="4"/>
      <c r="J186" s="4"/>
      <c r="K186" s="4"/>
      <c r="L186" s="4"/>
    </row>
    <row r="187" spans="2:12">
      <c r="B187" s="4"/>
      <c r="C187" s="4"/>
      <c r="D187" s="4"/>
      <c r="E187" s="4"/>
      <c r="F187" s="4"/>
      <c r="G187" s="4"/>
      <c r="H187" s="4"/>
      <c r="I187" s="4"/>
      <c r="J187" s="4"/>
      <c r="K187" s="4"/>
      <c r="L187" s="4"/>
    </row>
    <row r="188" spans="2:12">
      <c r="B188" s="4"/>
      <c r="C188" s="4"/>
      <c r="D188" s="4"/>
      <c r="E188" s="4"/>
      <c r="F188" s="4"/>
      <c r="G188" s="4"/>
      <c r="H188" s="4"/>
      <c r="I188" s="4"/>
      <c r="J188" s="4"/>
      <c r="K188" s="4"/>
      <c r="L188" s="4"/>
    </row>
    <row r="189" spans="2:12">
      <c r="B189" s="4"/>
      <c r="C189" s="4"/>
      <c r="D189" s="4"/>
      <c r="E189" s="4"/>
      <c r="F189" s="4"/>
      <c r="G189" s="4"/>
      <c r="H189" s="4"/>
      <c r="I189" s="4"/>
      <c r="J189" s="4"/>
      <c r="K189" s="4"/>
      <c r="L189" s="4"/>
    </row>
    <row r="190" spans="2:12" ht="14.25" customHeight="1">
      <c r="B190" s="4"/>
      <c r="C190" s="4"/>
      <c r="D190" s="4"/>
      <c r="E190" s="4"/>
      <c r="F190" s="4"/>
      <c r="G190" s="4"/>
      <c r="H190" s="4"/>
      <c r="I190" s="4"/>
      <c r="J190" s="4"/>
      <c r="K190" s="4"/>
      <c r="L190" s="4"/>
    </row>
    <row r="191" spans="2:12" ht="12.75" customHeight="1">
      <c r="B191" s="4"/>
      <c r="C191" s="4"/>
      <c r="D191" s="4"/>
      <c r="E191" s="4"/>
      <c r="F191" s="4"/>
      <c r="G191" s="4"/>
      <c r="H191" s="4"/>
      <c r="I191" s="4"/>
      <c r="J191" s="4"/>
      <c r="K191" s="4"/>
      <c r="L191" s="4"/>
    </row>
    <row r="192" spans="2:12" ht="12.75" customHeight="1">
      <c r="B192" s="4"/>
      <c r="C192" s="4"/>
      <c r="D192" s="4"/>
      <c r="E192" s="4"/>
      <c r="F192" s="4"/>
      <c r="G192" s="4"/>
      <c r="H192" s="4"/>
      <c r="I192" s="4"/>
      <c r="J192" s="4"/>
      <c r="K192" s="4"/>
      <c r="L192" s="4"/>
    </row>
    <row r="193" spans="2:12" ht="12.75" customHeight="1">
      <c r="B193" s="4"/>
      <c r="C193" s="4"/>
      <c r="D193" s="4"/>
      <c r="E193" s="4"/>
      <c r="F193" s="4"/>
      <c r="G193" s="4"/>
      <c r="H193" s="4"/>
      <c r="I193" s="4"/>
      <c r="J193" s="4"/>
      <c r="K193" s="4"/>
      <c r="L193" s="4"/>
    </row>
    <row r="194" spans="2:12" ht="12.75" customHeight="1">
      <c r="B194" s="4"/>
      <c r="C194" s="4"/>
      <c r="D194" s="4"/>
      <c r="E194" s="4"/>
      <c r="F194" s="4"/>
      <c r="G194" s="4"/>
      <c r="H194" s="4"/>
      <c r="I194" s="4"/>
      <c r="J194" s="4"/>
      <c r="K194" s="4"/>
      <c r="L194" s="4"/>
    </row>
    <row r="195" spans="2:12" ht="12.75" customHeight="1">
      <c r="B195" s="4"/>
      <c r="C195" s="4"/>
      <c r="D195" s="4"/>
      <c r="E195" s="4"/>
      <c r="F195" s="4"/>
      <c r="G195" s="4"/>
      <c r="H195" s="4"/>
      <c r="I195" s="4"/>
      <c r="J195" s="4"/>
      <c r="K195" s="4"/>
      <c r="L195" s="4"/>
    </row>
    <row r="196" spans="2:12" ht="12.75" customHeight="1">
      <c r="B196" s="4"/>
      <c r="C196" s="4"/>
      <c r="D196" s="4"/>
      <c r="E196" s="4"/>
      <c r="F196" s="4"/>
      <c r="G196" s="4"/>
      <c r="H196" s="4"/>
      <c r="I196" s="4"/>
      <c r="J196" s="4"/>
      <c r="K196" s="4"/>
      <c r="L196" s="4"/>
    </row>
    <row r="197" spans="2:12" ht="12.75" customHeight="1">
      <c r="B197" s="4"/>
      <c r="C197" s="4"/>
      <c r="D197" s="4"/>
      <c r="E197" s="4"/>
      <c r="F197" s="4"/>
      <c r="G197" s="4"/>
      <c r="H197" s="4"/>
      <c r="I197" s="4"/>
      <c r="J197" s="4"/>
      <c r="K197" s="4"/>
      <c r="L197" s="4"/>
    </row>
    <row r="198" spans="2:12" ht="12.75" customHeight="1">
      <c r="B198" s="4"/>
      <c r="C198" s="4"/>
      <c r="D198" s="4"/>
      <c r="E198" s="4"/>
      <c r="F198" s="4"/>
      <c r="G198" s="4"/>
      <c r="H198" s="4"/>
      <c r="I198" s="4"/>
      <c r="J198" s="4"/>
      <c r="K198" s="4"/>
      <c r="L198" s="4"/>
    </row>
    <row r="199" spans="2:12" ht="12.75" customHeight="1">
      <c r="B199" s="4"/>
      <c r="C199" s="4"/>
      <c r="D199" s="4"/>
      <c r="E199" s="4"/>
      <c r="F199" s="4"/>
      <c r="G199" s="4"/>
      <c r="H199" s="4"/>
      <c r="I199" s="4"/>
      <c r="J199" s="4"/>
      <c r="K199" s="4"/>
      <c r="L199" s="4"/>
    </row>
    <row r="200" spans="2:12" ht="12.75" customHeight="1">
      <c r="B200" s="4"/>
      <c r="C200" s="4"/>
      <c r="D200" s="4"/>
      <c r="E200" s="4"/>
      <c r="F200" s="4"/>
      <c r="G200" s="4"/>
      <c r="H200" s="4"/>
      <c r="I200" s="4"/>
      <c r="J200" s="4"/>
      <c r="K200" s="4"/>
      <c r="L200" s="4"/>
    </row>
    <row r="201" spans="2:12" ht="12.75" customHeight="1">
      <c r="B201" s="4"/>
      <c r="C201" s="4"/>
      <c r="D201" s="4"/>
      <c r="E201" s="4"/>
      <c r="F201" s="4"/>
      <c r="G201" s="4"/>
      <c r="H201" s="4"/>
      <c r="I201" s="4"/>
      <c r="J201" s="4"/>
      <c r="K201" s="4"/>
      <c r="L201" s="4"/>
    </row>
    <row r="202" spans="2:12" ht="12.75" customHeight="1">
      <c r="B202" s="4"/>
      <c r="C202" s="4"/>
      <c r="D202" s="4"/>
      <c r="E202" s="4"/>
      <c r="F202" s="4"/>
      <c r="G202" s="4"/>
      <c r="H202" s="4"/>
      <c r="I202" s="4"/>
      <c r="J202" s="4"/>
      <c r="K202" s="4"/>
      <c r="L202" s="4"/>
    </row>
    <row r="203" spans="2:12" ht="12.75" customHeight="1">
      <c r="B203" s="4"/>
      <c r="C203" s="4"/>
      <c r="D203" s="4"/>
      <c r="E203" s="4"/>
      <c r="F203" s="4"/>
      <c r="G203" s="4"/>
      <c r="H203" s="4"/>
      <c r="I203" s="4"/>
      <c r="J203" s="4"/>
      <c r="K203" s="4"/>
      <c r="L203" s="4"/>
    </row>
    <row r="204" spans="2:12" ht="12.75" customHeight="1">
      <c r="B204" s="4"/>
      <c r="C204" s="4"/>
      <c r="D204" s="4"/>
      <c r="E204" s="4"/>
      <c r="F204" s="4"/>
      <c r="G204" s="4"/>
      <c r="H204" s="4"/>
      <c r="I204" s="4"/>
      <c r="J204" s="4"/>
      <c r="K204" s="4"/>
      <c r="L204" s="4"/>
    </row>
    <row r="205" spans="2:12" ht="12.75" customHeight="1">
      <c r="B205" s="4"/>
      <c r="C205" s="4"/>
      <c r="D205" s="4"/>
      <c r="E205" s="4"/>
      <c r="F205" s="4"/>
      <c r="G205" s="4"/>
      <c r="H205" s="4"/>
      <c r="I205" s="4"/>
      <c r="J205" s="4"/>
      <c r="K205" s="4"/>
      <c r="L205" s="4"/>
    </row>
    <row r="206" spans="2:12">
      <c r="B206" s="4"/>
      <c r="C206" s="4"/>
      <c r="D206" s="4"/>
      <c r="E206" s="4"/>
      <c r="F206" s="4"/>
      <c r="G206" s="4"/>
      <c r="H206" s="4"/>
      <c r="I206" s="4"/>
      <c r="J206" s="4"/>
      <c r="K206" s="4"/>
      <c r="L206" s="4"/>
    </row>
    <row r="207" spans="2:12">
      <c r="B207" s="4"/>
      <c r="C207" s="4"/>
      <c r="D207" s="4"/>
      <c r="E207" s="4"/>
      <c r="F207" s="4"/>
      <c r="G207" s="4"/>
      <c r="H207" s="4"/>
      <c r="I207" s="4"/>
      <c r="J207" s="4"/>
      <c r="K207" s="4"/>
      <c r="L207" s="4"/>
    </row>
    <row r="208" spans="2:12">
      <c r="B208" s="4"/>
      <c r="C208" s="4"/>
      <c r="D208" s="4"/>
      <c r="E208" s="4"/>
      <c r="F208" s="4"/>
      <c r="G208" s="4"/>
      <c r="H208" s="4"/>
      <c r="I208" s="4"/>
      <c r="J208" s="4"/>
      <c r="K208" s="4"/>
      <c r="L208" s="4"/>
    </row>
    <row r="209" spans="2:12">
      <c r="B209" s="4"/>
      <c r="C209" s="4"/>
      <c r="D209" s="4"/>
      <c r="E209" s="4"/>
      <c r="F209" s="4"/>
      <c r="G209" s="4"/>
      <c r="H209" s="4"/>
      <c r="I209" s="4"/>
      <c r="J209" s="4"/>
      <c r="K209" s="4"/>
      <c r="L209" s="4"/>
    </row>
    <row r="210" spans="2:12">
      <c r="B210" s="4"/>
      <c r="C210" s="4"/>
      <c r="D210" s="4"/>
      <c r="E210" s="4"/>
      <c r="F210" s="4"/>
      <c r="G210" s="4"/>
      <c r="H210" s="4"/>
      <c r="I210" s="4"/>
      <c r="J210" s="4"/>
      <c r="K210" s="4"/>
      <c r="L210" s="4"/>
    </row>
    <row r="211" spans="2:12">
      <c r="B211" s="4"/>
      <c r="C211" s="4"/>
      <c r="D211" s="4"/>
      <c r="E211" s="4"/>
      <c r="F211" s="4"/>
      <c r="G211" s="4"/>
      <c r="H211" s="4"/>
      <c r="I211" s="4"/>
      <c r="J211" s="4"/>
      <c r="K211" s="4"/>
      <c r="L211" s="4"/>
    </row>
    <row r="212" spans="2:12">
      <c r="B212" s="4"/>
      <c r="C212" s="4"/>
      <c r="D212" s="4"/>
      <c r="E212" s="4"/>
      <c r="F212" s="4"/>
      <c r="G212" s="4"/>
      <c r="H212" s="4"/>
      <c r="I212" s="4"/>
      <c r="J212" s="4"/>
      <c r="K212" s="4"/>
      <c r="L212" s="4"/>
    </row>
    <row r="213" spans="2:12">
      <c r="B213" s="4"/>
      <c r="C213" s="4"/>
      <c r="D213" s="4"/>
      <c r="E213" s="4"/>
      <c r="F213" s="4"/>
      <c r="G213" s="4"/>
      <c r="H213" s="4"/>
      <c r="I213" s="4"/>
      <c r="J213" s="4"/>
      <c r="K213" s="4"/>
      <c r="L213" s="4"/>
    </row>
    <row r="214" spans="2:12">
      <c r="B214" s="4"/>
      <c r="C214" s="4"/>
      <c r="D214" s="4"/>
      <c r="E214" s="4"/>
      <c r="F214" s="4"/>
      <c r="G214" s="4"/>
      <c r="H214" s="4"/>
      <c r="I214" s="4"/>
      <c r="J214" s="4"/>
      <c r="K214" s="4"/>
      <c r="L214" s="4"/>
    </row>
    <row r="215" spans="2:12">
      <c r="B215" s="4"/>
      <c r="C215" s="4"/>
      <c r="D215" s="4"/>
      <c r="E215" s="4"/>
      <c r="F215" s="4"/>
      <c r="G215" s="4"/>
      <c r="H215" s="4"/>
      <c r="I215" s="4"/>
      <c r="J215" s="4"/>
      <c r="K215" s="4"/>
      <c r="L215" s="4"/>
    </row>
    <row r="216" spans="2:12">
      <c r="B216" s="4"/>
      <c r="C216" s="4"/>
      <c r="D216" s="4"/>
      <c r="E216" s="4"/>
      <c r="F216" s="4"/>
      <c r="G216" s="4"/>
      <c r="H216" s="4"/>
      <c r="I216" s="4"/>
      <c r="J216" s="4"/>
      <c r="K216" s="4"/>
      <c r="L216" s="4"/>
    </row>
    <row r="217" spans="2:12">
      <c r="B217" s="4"/>
      <c r="C217" s="4"/>
      <c r="D217" s="4"/>
      <c r="E217" s="4"/>
      <c r="F217" s="4"/>
      <c r="G217" s="4"/>
      <c r="H217" s="4"/>
      <c r="I217" s="4"/>
      <c r="J217" s="4"/>
      <c r="K217" s="4"/>
      <c r="L217" s="4"/>
    </row>
    <row r="218" spans="2:12">
      <c r="B218" s="4"/>
      <c r="C218" s="4"/>
      <c r="D218" s="4"/>
      <c r="E218" s="4"/>
      <c r="F218" s="4"/>
      <c r="G218" s="4"/>
      <c r="H218" s="4"/>
      <c r="I218" s="4"/>
      <c r="J218" s="4"/>
      <c r="K218" s="4"/>
      <c r="L218" s="4"/>
    </row>
    <row r="219" spans="2:12">
      <c r="B219" s="4"/>
      <c r="C219" s="4"/>
      <c r="D219" s="4"/>
      <c r="E219" s="4"/>
      <c r="F219" s="4"/>
      <c r="G219" s="4"/>
      <c r="H219" s="4"/>
      <c r="I219" s="4"/>
      <c r="J219" s="4"/>
      <c r="K219" s="4"/>
      <c r="L219" s="4"/>
    </row>
    <row r="220" spans="2:12">
      <c r="B220" s="4"/>
      <c r="C220" s="4"/>
      <c r="D220" s="4"/>
      <c r="E220" s="4"/>
      <c r="F220" s="4"/>
      <c r="G220" s="4"/>
      <c r="H220" s="4"/>
      <c r="I220" s="4"/>
      <c r="J220" s="4"/>
      <c r="K220" s="4"/>
      <c r="L220" s="4"/>
    </row>
    <row r="221" spans="2:12">
      <c r="B221" s="4"/>
      <c r="C221" s="4"/>
      <c r="D221" s="4"/>
      <c r="E221" s="4"/>
      <c r="F221" s="4"/>
      <c r="G221" s="4"/>
      <c r="H221" s="4"/>
      <c r="I221" s="4"/>
      <c r="J221" s="4"/>
      <c r="K221" s="4"/>
      <c r="L221" s="4"/>
    </row>
    <row r="222" spans="2:12">
      <c r="B222" s="4"/>
      <c r="C222" s="4"/>
      <c r="D222" s="4"/>
      <c r="E222" s="4"/>
      <c r="F222" s="4"/>
      <c r="G222" s="4"/>
      <c r="H222" s="4"/>
      <c r="I222" s="4"/>
      <c r="J222" s="4"/>
      <c r="K222" s="4"/>
      <c r="L222" s="4"/>
    </row>
    <row r="223" spans="2:12">
      <c r="B223" s="4"/>
      <c r="C223" s="4"/>
      <c r="D223" s="4"/>
      <c r="E223" s="4"/>
      <c r="F223" s="4"/>
      <c r="G223" s="4"/>
      <c r="H223" s="4"/>
      <c r="I223" s="4"/>
      <c r="J223" s="4"/>
      <c r="K223" s="4"/>
      <c r="L223" s="4"/>
    </row>
  </sheetData>
  <mergeCells count="8">
    <mergeCell ref="C54:I55"/>
    <mergeCell ref="A3:I3"/>
    <mergeCell ref="A4:I4"/>
    <mergeCell ref="A5:I5"/>
    <mergeCell ref="E10:E11"/>
    <mergeCell ref="A6:I6"/>
    <mergeCell ref="G10:G11"/>
    <mergeCell ref="I10:I11"/>
  </mergeCells>
  <phoneticPr fontId="0" type="noConversion"/>
  <pageMargins left="0.26" right="0.59" top="1" bottom="1" header="0.75" footer="0.5"/>
  <pageSetup scale="62" orientation="portrait" r:id="rId1"/>
  <headerFooter alignWithMargins="0">
    <oddHeader>&amp;R&amp;"Arial,Bold"Formula Rate
 &amp;A
Page &amp;P of &amp;N</oddHeader>
  </headerFooter>
  <rowBreaks count="1" manualBreakCount="1">
    <brk id="6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S163"/>
  <sheetViews>
    <sheetView tabSelected="1" view="pageBreakPreview" topLeftCell="A108" zoomScale="85" zoomScaleNormal="50" zoomScaleSheetLayoutView="85" workbookViewId="0">
      <selection activeCell="D9" sqref="D9"/>
    </sheetView>
  </sheetViews>
  <sheetFormatPr defaultRowHeight="12.75"/>
  <cols>
    <col min="1" max="1" width="6.85546875" style="1" customWidth="1"/>
    <col min="2" max="2" width="57.5703125" bestFit="1" customWidth="1"/>
    <col min="3" max="4" width="14.85546875" customWidth="1"/>
    <col min="5" max="6" width="14.42578125" customWidth="1"/>
    <col min="7" max="7" width="15.42578125" bestFit="1" customWidth="1"/>
    <col min="9" max="9" width="13.140625" bestFit="1" customWidth="1"/>
    <col min="10" max="10" width="15" bestFit="1" customWidth="1"/>
    <col min="11" max="11" width="13.5703125" bestFit="1" customWidth="1"/>
    <col min="13" max="13" width="13.140625" bestFit="1" customWidth="1"/>
    <col min="14" max="14" width="15" bestFit="1" customWidth="1"/>
    <col min="15" max="15" width="13.5703125" bestFit="1" customWidth="1"/>
    <col min="17" max="17" width="13.140625" bestFit="1" customWidth="1"/>
    <col min="18" max="18" width="15" bestFit="1" customWidth="1"/>
    <col min="19" max="19" width="13.5703125" bestFit="1" customWidth="1"/>
  </cols>
  <sheetData>
    <row r="1" spans="1:19">
      <c r="A1" s="810"/>
      <c r="B1" s="853" t="str">
        <f>TCOS!F9</f>
        <v>KENTUCKY POWER COMPANY</v>
      </c>
      <c r="C1" s="796"/>
      <c r="D1" s="796"/>
      <c r="E1" s="796"/>
      <c r="F1" s="796"/>
      <c r="M1" s="796"/>
      <c r="N1" s="796"/>
      <c r="O1" s="796"/>
      <c r="P1" s="796"/>
      <c r="Q1" s="796"/>
      <c r="R1" s="796"/>
    </row>
    <row r="2" spans="1:19">
      <c r="A2" s="810"/>
      <c r="B2" s="177" t="s">
        <v>821</v>
      </c>
      <c r="C2" s="796"/>
      <c r="D2" s="796"/>
      <c r="E2" s="796"/>
      <c r="F2" s="796"/>
      <c r="M2" s="796"/>
      <c r="N2" s="796"/>
      <c r="O2" s="796"/>
      <c r="P2" s="796"/>
      <c r="Q2" s="796"/>
      <c r="R2" s="796"/>
    </row>
    <row r="3" spans="1:19">
      <c r="A3" s="810"/>
      <c r="B3" s="822" t="str">
        <f>"PERIOD ENDED DECEMBER 31, "&amp;TCOS!L4</f>
        <v>PERIOD ENDED DECEMBER 31, 2025</v>
      </c>
      <c r="C3" s="796"/>
      <c r="D3" s="796"/>
      <c r="E3" s="796"/>
      <c r="F3" s="796"/>
      <c r="G3" s="796"/>
      <c r="H3" s="796"/>
      <c r="I3" s="796"/>
      <c r="J3" s="796"/>
      <c r="K3" s="796"/>
      <c r="L3" s="796"/>
      <c r="M3" s="796"/>
      <c r="N3" s="796"/>
      <c r="O3" s="796"/>
      <c r="P3" s="796"/>
      <c r="Q3" s="796"/>
      <c r="R3" s="796"/>
      <c r="S3" s="796"/>
    </row>
    <row r="4" spans="1:19">
      <c r="A4" s="810"/>
      <c r="B4" s="796"/>
      <c r="C4" s="796"/>
      <c r="D4" s="796"/>
      <c r="E4" s="796"/>
      <c r="F4" s="796"/>
      <c r="G4" s="1" t="s">
        <v>698</v>
      </c>
      <c r="H4" s="1"/>
      <c r="I4" s="1"/>
      <c r="J4" s="1"/>
      <c r="K4" s="1"/>
      <c r="L4" s="1"/>
      <c r="M4" s="796"/>
      <c r="N4" s="796"/>
      <c r="O4" s="796"/>
      <c r="P4" s="796"/>
      <c r="Q4" s="796"/>
      <c r="R4" s="796"/>
      <c r="S4" s="796"/>
    </row>
    <row r="5" spans="1:19">
      <c r="A5" s="810"/>
      <c r="B5" s="796"/>
      <c r="C5" s="796"/>
      <c r="D5" s="796"/>
      <c r="E5" s="796"/>
      <c r="F5" s="796"/>
      <c r="G5" s="796"/>
      <c r="H5" s="796"/>
      <c r="I5" s="796"/>
      <c r="J5" s="796"/>
      <c r="K5" s="796"/>
      <c r="L5" s="796"/>
      <c r="M5" s="796"/>
      <c r="N5" s="796"/>
      <c r="O5" s="796"/>
      <c r="P5" s="796"/>
      <c r="Q5" s="796"/>
      <c r="R5" s="796"/>
      <c r="S5" s="796"/>
    </row>
    <row r="6" spans="1:19">
      <c r="A6" s="810"/>
      <c r="B6" s="796"/>
      <c r="C6" s="796"/>
      <c r="D6" s="796"/>
      <c r="E6" s="796"/>
      <c r="F6" s="796"/>
      <c r="G6" s="796"/>
      <c r="H6" s="796"/>
      <c r="I6" s="796"/>
      <c r="J6" s="796"/>
      <c r="K6" s="796"/>
      <c r="L6" s="796"/>
      <c r="M6" s="796"/>
      <c r="N6" s="796"/>
      <c r="O6" s="796"/>
      <c r="P6" s="796"/>
      <c r="Q6" s="796"/>
      <c r="R6" s="796"/>
      <c r="S6" s="796"/>
    </row>
    <row r="7" spans="1:19">
      <c r="A7" s="810"/>
      <c r="B7" s="796"/>
      <c r="C7" s="796"/>
      <c r="D7" s="796"/>
      <c r="E7" s="796"/>
      <c r="F7" s="796"/>
      <c r="G7" s="796"/>
      <c r="H7" s="796"/>
      <c r="I7" s="796"/>
      <c r="J7" s="796"/>
      <c r="K7" s="796"/>
      <c r="L7" s="796"/>
      <c r="M7" s="796"/>
      <c r="N7" s="796"/>
      <c r="O7" s="796"/>
      <c r="P7" s="796"/>
      <c r="Q7" s="796"/>
      <c r="R7" s="796"/>
      <c r="S7" s="796"/>
    </row>
    <row r="8" spans="1:19">
      <c r="A8" s="810"/>
      <c r="B8" s="797" t="s">
        <v>699</v>
      </c>
      <c r="C8" s="797" t="s">
        <v>700</v>
      </c>
      <c r="D8" s="797" t="s">
        <v>701</v>
      </c>
      <c r="E8" s="797" t="s">
        <v>702</v>
      </c>
      <c r="F8" s="797" t="s">
        <v>703</v>
      </c>
      <c r="G8" s="797" t="s">
        <v>704</v>
      </c>
      <c r="H8" s="797"/>
      <c r="I8" s="797" t="s">
        <v>705</v>
      </c>
      <c r="J8" s="797" t="s">
        <v>706</v>
      </c>
      <c r="K8" s="797" t="s">
        <v>707</v>
      </c>
      <c r="L8" s="797"/>
      <c r="M8" s="797" t="s">
        <v>708</v>
      </c>
      <c r="N8" s="797" t="s">
        <v>709</v>
      </c>
      <c r="O8" s="797" t="s">
        <v>710</v>
      </c>
      <c r="P8" s="796"/>
      <c r="Q8" s="797" t="s">
        <v>711</v>
      </c>
      <c r="R8" s="797" t="s">
        <v>712</v>
      </c>
      <c r="S8" s="797" t="s">
        <v>713</v>
      </c>
    </row>
    <row r="9" spans="1:19">
      <c r="A9" s="810"/>
      <c r="B9" s="796"/>
      <c r="C9" s="796"/>
      <c r="D9" s="796"/>
      <c r="E9" s="796"/>
      <c r="F9" s="796"/>
      <c r="G9" s="796"/>
      <c r="H9" s="796"/>
      <c r="I9" s="796"/>
      <c r="J9" s="796"/>
      <c r="K9" s="796"/>
      <c r="L9" s="796"/>
      <c r="M9" s="796"/>
      <c r="N9" s="796"/>
      <c r="O9" s="796"/>
      <c r="P9" s="796"/>
      <c r="Q9" s="796"/>
      <c r="R9" s="796"/>
      <c r="S9" s="796"/>
    </row>
    <row r="10" spans="1:19">
      <c r="A10" s="810"/>
      <c r="B10" s="796"/>
      <c r="C10" s="798" t="s">
        <v>714</v>
      </c>
      <c r="D10" s="798"/>
      <c r="E10" s="799" t="s">
        <v>715</v>
      </c>
      <c r="F10" s="798"/>
      <c r="G10" s="1" t="s">
        <v>716</v>
      </c>
      <c r="H10" s="1"/>
      <c r="I10" s="798" t="s">
        <v>717</v>
      </c>
      <c r="J10" s="798"/>
      <c r="K10" s="798"/>
      <c r="L10" s="1"/>
      <c r="M10" s="798" t="str">
        <f>"FUNCTIONALIZATION 12/31/"&amp;TCOS!L4-1</f>
        <v>FUNCTIONALIZATION 12/31/2024</v>
      </c>
      <c r="N10" s="798"/>
      <c r="O10" s="798"/>
      <c r="P10" s="796"/>
      <c r="Q10" s="798" t="str">
        <f>"FUNCTIONALIZATION 12/31/"&amp;TCOS!L4</f>
        <v>FUNCTIONALIZATION 12/31/2025</v>
      </c>
      <c r="R10" s="798"/>
      <c r="S10" s="798"/>
    </row>
    <row r="11" spans="1:19">
      <c r="A11" s="810"/>
      <c r="B11" s="796"/>
      <c r="C11" s="801"/>
      <c r="D11" s="801"/>
      <c r="E11" s="796"/>
      <c r="F11" s="796"/>
      <c r="G11" s="1" t="s">
        <v>718</v>
      </c>
      <c r="H11" s="1"/>
      <c r="I11" s="801"/>
      <c r="J11" s="801"/>
      <c r="K11" s="801"/>
      <c r="L11" s="1"/>
      <c r="M11" s="801"/>
      <c r="N11" s="801"/>
      <c r="O11" s="801"/>
      <c r="P11" s="796"/>
      <c r="Q11" s="801"/>
      <c r="R11" s="801"/>
      <c r="S11" s="801"/>
    </row>
    <row r="12" spans="1:19">
      <c r="A12" s="810"/>
      <c r="B12" s="796"/>
      <c r="C12" s="1" t="s">
        <v>719</v>
      </c>
      <c r="D12" s="1" t="s">
        <v>719</v>
      </c>
      <c r="E12" s="1" t="s">
        <v>719</v>
      </c>
      <c r="F12" s="1" t="s">
        <v>719</v>
      </c>
      <c r="G12" s="1" t="s">
        <v>720</v>
      </c>
      <c r="H12" s="1"/>
      <c r="I12" s="796"/>
      <c r="J12" s="796"/>
      <c r="K12" s="796"/>
      <c r="L12" s="1"/>
      <c r="M12" s="796"/>
      <c r="N12" s="796"/>
      <c r="O12" s="796"/>
      <c r="P12" s="796"/>
      <c r="Q12" s="796"/>
      <c r="R12" s="796"/>
      <c r="S12" s="796"/>
    </row>
    <row r="13" spans="1:19">
      <c r="A13" s="810"/>
      <c r="B13" s="797" t="s">
        <v>721</v>
      </c>
      <c r="C13" s="797" t="str">
        <f>"OF 12-31-"&amp;TCOS!L4-1</f>
        <v>OF 12-31-2024</v>
      </c>
      <c r="D13" s="797" t="str">
        <f>"OF 12-31-"&amp;TCOS!L4</f>
        <v>OF 12-31-2025</v>
      </c>
      <c r="E13" s="797" t="str">
        <f>"OF 12-31-"&amp;TCOS!L4-1</f>
        <v>OF 12-31-2024</v>
      </c>
      <c r="F13" s="797" t="str">
        <f>"OF 12-31-"&amp;TCOS!L4</f>
        <v>OF 12-31-2025</v>
      </c>
      <c r="G13" s="797" t="s">
        <v>722</v>
      </c>
      <c r="H13" s="797"/>
      <c r="I13" s="797" t="s">
        <v>723</v>
      </c>
      <c r="J13" s="797" t="s">
        <v>724</v>
      </c>
      <c r="K13" s="797" t="s">
        <v>725</v>
      </c>
      <c r="L13" s="797"/>
      <c r="M13" s="797" t="s">
        <v>723</v>
      </c>
      <c r="N13" s="797" t="s">
        <v>724</v>
      </c>
      <c r="O13" s="797" t="s">
        <v>725</v>
      </c>
      <c r="P13" s="796"/>
      <c r="Q13" s="797" t="s">
        <v>723</v>
      </c>
      <c r="R13" s="797" t="s">
        <v>724</v>
      </c>
      <c r="S13" s="797" t="s">
        <v>725</v>
      </c>
    </row>
    <row r="14" spans="1:19">
      <c r="A14" s="810"/>
      <c r="B14" s="796"/>
      <c r="C14" s="796"/>
      <c r="D14" s="796"/>
      <c r="E14" s="796"/>
      <c r="F14" s="796"/>
      <c r="G14" s="796"/>
      <c r="H14" s="796"/>
      <c r="I14" s="796"/>
      <c r="J14" s="796"/>
      <c r="K14" s="796"/>
      <c r="L14" s="796"/>
      <c r="M14" s="796"/>
      <c r="N14" s="796"/>
      <c r="O14" s="796"/>
      <c r="P14" s="796"/>
      <c r="Q14" s="796"/>
      <c r="R14" s="796"/>
      <c r="S14" s="796"/>
    </row>
    <row r="15" spans="1:19">
      <c r="A15" s="821">
        <v>1</v>
      </c>
      <c r="B15" s="648" t="s">
        <v>726</v>
      </c>
      <c r="C15" s="803"/>
      <c r="D15" s="803"/>
      <c r="E15" s="803"/>
      <c r="F15" s="804"/>
      <c r="G15" s="803"/>
      <c r="H15" s="803"/>
      <c r="I15" s="803"/>
      <c r="J15" s="803"/>
      <c r="K15" s="803"/>
      <c r="L15" s="803"/>
      <c r="M15" s="803"/>
      <c r="N15" s="803"/>
      <c r="O15" s="803"/>
      <c r="P15" s="803"/>
      <c r="Q15" s="803"/>
      <c r="R15" s="803"/>
      <c r="S15" s="803"/>
    </row>
    <row r="16" spans="1:19">
      <c r="A16" s="821">
        <v>2.0099999999999998</v>
      </c>
      <c r="B16" s="648"/>
      <c r="C16" s="803"/>
      <c r="D16" s="803"/>
      <c r="E16" s="803"/>
      <c r="F16" s="803"/>
      <c r="G16" s="803"/>
      <c r="H16" s="803"/>
      <c r="I16" s="803"/>
      <c r="J16" s="803"/>
      <c r="K16" s="803"/>
      <c r="L16" s="803"/>
      <c r="M16" s="803"/>
      <c r="N16" s="803"/>
      <c r="O16" s="803"/>
      <c r="P16" s="803"/>
      <c r="Q16" s="803"/>
      <c r="R16" s="803"/>
      <c r="S16" s="803"/>
    </row>
    <row r="17" spans="1:19">
      <c r="A17" s="821">
        <v>2.02</v>
      </c>
      <c r="B17" s="648" t="s">
        <v>939</v>
      </c>
      <c r="C17" s="803">
        <f>SUM(M17:O17)</f>
        <v>39140758.200000003</v>
      </c>
      <c r="D17" s="803">
        <f>SUM(Q17:S17)</f>
        <v>37147950.43</v>
      </c>
      <c r="E17" s="803"/>
      <c r="F17" s="803"/>
      <c r="G17" s="803">
        <f>ROUND(SUM(C17:F17)/2,0)</f>
        <v>38144354</v>
      </c>
      <c r="H17" s="803"/>
      <c r="I17" s="803">
        <f>(M17+Q17)/2</f>
        <v>38144354.314999998</v>
      </c>
      <c r="J17" s="803">
        <f>(N17+R17)/2</f>
        <v>0</v>
      </c>
      <c r="K17" s="803">
        <f>(O17+S17)/2</f>
        <v>0</v>
      </c>
      <c r="L17" s="803"/>
      <c r="M17" s="648">
        <v>39140758.200000003</v>
      </c>
      <c r="N17" s="648">
        <v>0</v>
      </c>
      <c r="O17" s="648">
        <v>0</v>
      </c>
      <c r="P17" s="803"/>
      <c r="Q17" s="648">
        <v>37147950.43</v>
      </c>
      <c r="R17" s="648"/>
      <c r="S17" s="648"/>
    </row>
    <row r="18" spans="1:19">
      <c r="A18" s="821">
        <v>2.0299999999999998</v>
      </c>
      <c r="B18" s="648"/>
      <c r="C18" s="803"/>
      <c r="D18" s="803"/>
      <c r="E18" s="803"/>
      <c r="F18" s="803"/>
      <c r="G18" s="803"/>
      <c r="H18" s="803"/>
      <c r="I18" s="803"/>
      <c r="J18" s="803"/>
      <c r="K18" s="803"/>
      <c r="L18" s="803"/>
      <c r="M18" s="803"/>
      <c r="N18" s="803"/>
      <c r="O18" s="803"/>
      <c r="P18" s="803"/>
      <c r="Q18" s="803"/>
      <c r="R18" s="803"/>
      <c r="S18" s="803"/>
    </row>
    <row r="19" spans="1:19">
      <c r="A19" s="821">
        <v>2.04</v>
      </c>
      <c r="B19" s="648" t="s">
        <v>940</v>
      </c>
      <c r="C19" s="803">
        <f>-E19</f>
        <v>0</v>
      </c>
      <c r="D19" s="803">
        <f>-F19</f>
        <v>0</v>
      </c>
      <c r="E19" s="803">
        <v>0</v>
      </c>
      <c r="F19" s="803">
        <v>0</v>
      </c>
      <c r="G19" s="803">
        <f>ROUND(SUM(C19:F19)/2,0)</f>
        <v>0</v>
      </c>
      <c r="H19" s="803"/>
      <c r="I19" s="803"/>
      <c r="J19" s="803"/>
      <c r="K19" s="803"/>
      <c r="L19" s="803"/>
      <c r="M19" s="803"/>
      <c r="N19" s="803"/>
      <c r="O19" s="803"/>
      <c r="P19" s="803"/>
      <c r="Q19" s="803"/>
      <c r="R19" s="803"/>
      <c r="S19" s="803"/>
    </row>
    <row r="20" spans="1:19">
      <c r="A20" s="821">
        <v>2.0499999999999998</v>
      </c>
      <c r="B20" s="648" t="s">
        <v>941</v>
      </c>
      <c r="C20" s="803">
        <f t="shared" ref="C20:C21" si="0">-E20</f>
        <v>0</v>
      </c>
      <c r="D20" s="803">
        <f t="shared" ref="D20:D21" si="1">-F20</f>
        <v>0</v>
      </c>
      <c r="E20" s="803">
        <v>0</v>
      </c>
      <c r="F20" s="803">
        <v>0</v>
      </c>
      <c r="G20" s="803">
        <f>ROUND(SUM(C20:F20)/2,0)</f>
        <v>0</v>
      </c>
      <c r="H20" s="803"/>
      <c r="I20" s="803"/>
      <c r="J20" s="803"/>
      <c r="K20" s="803"/>
      <c r="L20" s="803"/>
      <c r="M20" s="803"/>
      <c r="N20" s="803"/>
      <c r="O20" s="803"/>
      <c r="P20" s="803"/>
      <c r="Q20" s="803"/>
      <c r="R20" s="803"/>
      <c r="S20" s="803"/>
    </row>
    <row r="21" spans="1:19">
      <c r="A21" s="821">
        <v>2.06</v>
      </c>
      <c r="B21" s="648" t="s">
        <v>942</v>
      </c>
      <c r="C21" s="803">
        <f t="shared" si="0"/>
        <v>-15502878.27</v>
      </c>
      <c r="D21" s="803">
        <f t="shared" si="1"/>
        <v>-14980985.27</v>
      </c>
      <c r="E21" s="803">
        <v>15502878.27</v>
      </c>
      <c r="F21" s="803">
        <v>14980985.27</v>
      </c>
      <c r="G21" s="803">
        <f>ROUND(SUM(C21:F21)/2,0)</f>
        <v>0</v>
      </c>
      <c r="H21" s="803"/>
      <c r="I21" s="803"/>
      <c r="J21" s="803"/>
      <c r="K21" s="803"/>
      <c r="L21" s="803"/>
      <c r="M21" s="803"/>
      <c r="N21" s="803"/>
      <c r="O21" s="803"/>
      <c r="P21" s="803"/>
      <c r="Q21" s="803"/>
      <c r="R21" s="803"/>
      <c r="S21" s="803"/>
    </row>
    <row r="22" spans="1:19">
      <c r="A22" s="817"/>
      <c r="B22" s="796"/>
      <c r="C22" s="803"/>
      <c r="D22" s="803"/>
      <c r="E22" s="803"/>
      <c r="F22" s="803"/>
      <c r="G22" s="803"/>
      <c r="H22" s="803"/>
      <c r="I22" s="803"/>
      <c r="J22" s="803"/>
      <c r="K22" s="803"/>
      <c r="L22" s="803"/>
      <c r="M22" s="803"/>
      <c r="N22" s="803"/>
      <c r="O22" s="803"/>
      <c r="P22" s="803"/>
      <c r="Q22" s="803"/>
      <c r="R22" s="803"/>
      <c r="S22" s="803"/>
    </row>
    <row r="23" spans="1:19" ht="13.5" thickBot="1">
      <c r="A23" s="811">
        <v>3</v>
      </c>
      <c r="B23" t="s">
        <v>727</v>
      </c>
      <c r="C23" s="806">
        <f>SUM(C17:C22)</f>
        <v>23637879.930000003</v>
      </c>
      <c r="D23" s="806">
        <f>SUM(D17:D22)</f>
        <v>22166965.16</v>
      </c>
      <c r="E23" s="806">
        <f>SUM(E17:E22)</f>
        <v>15502878.27</v>
      </c>
      <c r="F23" s="806">
        <f>SUM(F17:F22)</f>
        <v>14980985.27</v>
      </c>
      <c r="G23" s="806">
        <f>SUM(G17:G22)</f>
        <v>38144354</v>
      </c>
      <c r="H23" s="803"/>
      <c r="I23" s="806">
        <f>SUM(I17:I22)</f>
        <v>38144354.314999998</v>
      </c>
      <c r="J23" s="806">
        <f>SUM(J17:J22)</f>
        <v>0</v>
      </c>
      <c r="K23" s="806">
        <f>SUM(K17:K22)</f>
        <v>0</v>
      </c>
      <c r="L23" s="803"/>
      <c r="M23" s="806">
        <f>SUM(M17:M22)</f>
        <v>39140758.200000003</v>
      </c>
      <c r="N23" s="806">
        <f>SUM(N17:N22)</f>
        <v>0</v>
      </c>
      <c r="O23" s="806">
        <f>SUM(O17:O22)</f>
        <v>0</v>
      </c>
      <c r="P23" s="803"/>
      <c r="Q23" s="806">
        <f>SUM(Q17:Q22)</f>
        <v>37147950.43</v>
      </c>
      <c r="R23" s="806">
        <f>SUM(R17:R22)</f>
        <v>0</v>
      </c>
      <c r="S23" s="806">
        <f>SUM(S17:S22)</f>
        <v>0</v>
      </c>
    </row>
    <row r="24" spans="1:19" ht="13.5" thickTop="1">
      <c r="A24" s="811">
        <f>A23+1</f>
        <v>4</v>
      </c>
      <c r="B24" s="20" t="s">
        <v>745</v>
      </c>
      <c r="C24" s="814">
        <v>0</v>
      </c>
      <c r="D24" s="814">
        <v>0</v>
      </c>
      <c r="E24" s="814">
        <v>0</v>
      </c>
      <c r="F24" s="814">
        <v>0</v>
      </c>
      <c r="G24" s="814">
        <v>0</v>
      </c>
      <c r="H24" s="815"/>
      <c r="I24" s="814">
        <v>0</v>
      </c>
      <c r="J24" s="814">
        <v>0</v>
      </c>
      <c r="K24" s="814">
        <v>0</v>
      </c>
      <c r="L24" s="815"/>
      <c r="M24" s="814">
        <v>0</v>
      </c>
      <c r="N24" s="814">
        <v>0</v>
      </c>
      <c r="O24" s="814">
        <v>0</v>
      </c>
      <c r="P24" s="815"/>
      <c r="Q24" s="814">
        <v>0</v>
      </c>
      <c r="R24" s="814">
        <v>0</v>
      </c>
      <c r="S24" s="814">
        <v>0</v>
      </c>
    </row>
    <row r="25" spans="1:19">
      <c r="A25" s="811"/>
      <c r="B25" s="796"/>
      <c r="C25" s="803"/>
      <c r="D25" s="803"/>
      <c r="E25" s="803"/>
      <c r="F25" s="803"/>
      <c r="G25" s="803"/>
      <c r="H25" s="803"/>
      <c r="I25" s="803"/>
      <c r="J25" s="803"/>
      <c r="K25" s="803"/>
      <c r="L25" s="803"/>
      <c r="M25" s="803"/>
      <c r="N25" s="803"/>
      <c r="O25" s="803"/>
      <c r="P25" s="803"/>
      <c r="Q25" s="803"/>
      <c r="R25" s="803"/>
      <c r="S25" s="803"/>
    </row>
    <row r="26" spans="1:19">
      <c r="A26" s="811">
        <v>5</v>
      </c>
      <c r="B26" t="s">
        <v>728</v>
      </c>
      <c r="C26" s="803"/>
      <c r="D26" s="803"/>
      <c r="E26" s="803"/>
      <c r="F26" s="803"/>
      <c r="G26" s="803"/>
      <c r="H26" s="803"/>
      <c r="I26" s="803"/>
      <c r="J26" s="803"/>
      <c r="K26" s="803"/>
      <c r="L26" s="803"/>
      <c r="M26" s="803"/>
      <c r="N26" s="803"/>
      <c r="O26" s="803"/>
      <c r="P26" s="803"/>
      <c r="Q26" s="803"/>
      <c r="R26" s="803"/>
      <c r="S26" s="803"/>
    </row>
    <row r="27" spans="1:19">
      <c r="A27" s="818"/>
      <c r="B27" s="796"/>
      <c r="C27" s="803"/>
      <c r="D27" s="803"/>
      <c r="E27" s="803"/>
      <c r="F27" s="803"/>
      <c r="G27" s="803"/>
      <c r="H27" s="803"/>
      <c r="I27" s="803"/>
      <c r="J27" s="803"/>
      <c r="K27" s="803"/>
      <c r="L27" s="803"/>
      <c r="M27" s="803"/>
      <c r="N27" s="803"/>
      <c r="O27" s="803"/>
      <c r="P27" s="803"/>
      <c r="Q27" s="803"/>
      <c r="R27" s="803"/>
      <c r="S27" s="803"/>
    </row>
    <row r="28" spans="1:19">
      <c r="A28" s="821">
        <f>5+0.01</f>
        <v>5.01</v>
      </c>
      <c r="B28" s="648" t="s">
        <v>1218</v>
      </c>
      <c r="C28" s="648">
        <f t="shared" ref="C28:C47" si="2">SUM(M28:O28)</f>
        <v>68644493.299999997</v>
      </c>
      <c r="D28" s="648">
        <f t="shared" ref="D28:D47" si="3">SUM(Q28:S28)</f>
        <v>66822412.299999997</v>
      </c>
      <c r="E28" s="803"/>
      <c r="F28" s="803"/>
      <c r="G28" s="803">
        <f t="shared" ref="G28:G47" si="4">ROUND(SUM(C28:F28)/2,0)</f>
        <v>67733453</v>
      </c>
      <c r="H28" s="803"/>
      <c r="I28" s="803">
        <f t="shared" ref="I28:I47" si="5">(M28+Q28)/2</f>
        <v>20572968.399999999</v>
      </c>
      <c r="J28" s="803">
        <f t="shared" ref="J28:J47" si="6">(N28+R28)/2</f>
        <v>23969093.280000001</v>
      </c>
      <c r="K28" s="803">
        <f t="shared" ref="K28:K47" si="7">(O28+S28)/2</f>
        <v>23191391.120000001</v>
      </c>
      <c r="L28" s="803"/>
      <c r="M28" s="648">
        <v>20925182.399999999</v>
      </c>
      <c r="N28" s="648">
        <v>24253436.780000001</v>
      </c>
      <c r="O28" s="648">
        <v>23465874.120000001</v>
      </c>
      <c r="P28" s="803"/>
      <c r="Q28" s="648">
        <v>20220754.399999999</v>
      </c>
      <c r="R28" s="648">
        <v>23684749.780000001</v>
      </c>
      <c r="S28" s="648">
        <v>22916908.120000001</v>
      </c>
    </row>
    <row r="29" spans="1:19">
      <c r="A29" s="821">
        <f t="shared" ref="A29:A53" si="8">A28+0.01</f>
        <v>5.0199999999999996</v>
      </c>
      <c r="B29" s="648" t="s">
        <v>1219</v>
      </c>
      <c r="C29" s="648">
        <f t="shared" si="2"/>
        <v>3085387.71</v>
      </c>
      <c r="D29" s="648">
        <f t="shared" si="3"/>
        <v>1885680.71</v>
      </c>
      <c r="E29" s="803"/>
      <c r="F29" s="803"/>
      <c r="G29" s="803">
        <f t="shared" si="4"/>
        <v>2485534</v>
      </c>
      <c r="H29" s="803"/>
      <c r="I29" s="803">
        <f t="shared" si="5"/>
        <v>35729.5</v>
      </c>
      <c r="J29" s="803">
        <f t="shared" si="6"/>
        <v>2429824.33</v>
      </c>
      <c r="K29" s="803">
        <f t="shared" si="7"/>
        <v>19980.379999999997</v>
      </c>
      <c r="L29" s="803"/>
      <c r="M29" s="648">
        <v>71463</v>
      </c>
      <c r="N29" s="648">
        <v>2973964.83</v>
      </c>
      <c r="O29" s="648">
        <v>39959.879999999997</v>
      </c>
      <c r="P29" s="803"/>
      <c r="Q29" s="648">
        <v>-4</v>
      </c>
      <c r="R29" s="648">
        <v>1885683.83</v>
      </c>
      <c r="S29" s="648">
        <v>0.88</v>
      </c>
    </row>
    <row r="30" spans="1:19">
      <c r="A30" s="821">
        <f t="shared" si="8"/>
        <v>5.0299999999999994</v>
      </c>
      <c r="B30" s="648" t="s">
        <v>1220</v>
      </c>
      <c r="C30" s="648">
        <f t="shared" si="2"/>
        <v>8530796.7400000002</v>
      </c>
      <c r="D30" s="648">
        <f t="shared" si="3"/>
        <v>9389450.3800000008</v>
      </c>
      <c r="E30" s="803"/>
      <c r="F30" s="803"/>
      <c r="G30" s="803">
        <f t="shared" si="4"/>
        <v>8960124</v>
      </c>
      <c r="H30" s="803"/>
      <c r="I30" s="803">
        <f t="shared" si="5"/>
        <v>2844265.9450000003</v>
      </c>
      <c r="J30" s="803">
        <f t="shared" si="6"/>
        <v>3550150.4050000003</v>
      </c>
      <c r="K30" s="803">
        <f t="shared" si="7"/>
        <v>2565707.21</v>
      </c>
      <c r="L30" s="803"/>
      <c r="M30" s="648">
        <v>2820749.52</v>
      </c>
      <c r="N30" s="648">
        <v>3245528.57</v>
      </c>
      <c r="O30" s="648">
        <v>2464518.65</v>
      </c>
      <c r="P30" s="803"/>
      <c r="Q30" s="648">
        <v>2867782.37</v>
      </c>
      <c r="R30" s="648">
        <v>3854772.24</v>
      </c>
      <c r="S30" s="648">
        <v>2666895.77</v>
      </c>
    </row>
    <row r="31" spans="1:19">
      <c r="A31" s="821">
        <f t="shared" si="8"/>
        <v>5.0399999999999991</v>
      </c>
      <c r="B31" s="648" t="s">
        <v>1221</v>
      </c>
      <c r="C31" s="648">
        <f t="shared" si="2"/>
        <v>5913733.3900000006</v>
      </c>
      <c r="D31" s="648">
        <f t="shared" si="3"/>
        <v>4432011.6100000003</v>
      </c>
      <c r="E31" s="808"/>
      <c r="F31" s="808"/>
      <c r="G31" s="808">
        <f t="shared" si="4"/>
        <v>5172873</v>
      </c>
      <c r="H31" s="808"/>
      <c r="I31" s="808">
        <f t="shared" si="5"/>
        <v>5192989.5150000006</v>
      </c>
      <c r="J31" s="808">
        <f t="shared" si="6"/>
        <v>0</v>
      </c>
      <c r="K31" s="808">
        <f t="shared" si="7"/>
        <v>-20117.014999999999</v>
      </c>
      <c r="L31" s="808"/>
      <c r="M31" s="648">
        <v>5917279.2000000002</v>
      </c>
      <c r="N31" s="648"/>
      <c r="O31" s="648">
        <v>-3545.81</v>
      </c>
      <c r="P31" s="808"/>
      <c r="Q31" s="648">
        <v>4468699.83</v>
      </c>
      <c r="R31" s="648"/>
      <c r="S31" s="648">
        <v>-36688.22</v>
      </c>
    </row>
    <row r="32" spans="1:19">
      <c r="A32" s="821">
        <f t="shared" si="8"/>
        <v>5.0499999999999989</v>
      </c>
      <c r="B32" s="648" t="s">
        <v>1222</v>
      </c>
      <c r="C32" s="648">
        <f t="shared" si="2"/>
        <v>8282351.4300000006</v>
      </c>
      <c r="D32" s="648">
        <f t="shared" si="3"/>
        <v>8282351.4300000006</v>
      </c>
      <c r="E32" s="803"/>
      <c r="F32" s="803"/>
      <c r="G32" s="803">
        <f t="shared" si="4"/>
        <v>8282351</v>
      </c>
      <c r="H32" s="803"/>
      <c r="I32" s="803">
        <f t="shared" si="5"/>
        <v>374119.2</v>
      </c>
      <c r="J32" s="803">
        <f t="shared" si="6"/>
        <v>7057794.4800000004</v>
      </c>
      <c r="K32" s="803">
        <f t="shared" si="7"/>
        <v>850437.75</v>
      </c>
      <c r="L32" s="803"/>
      <c r="M32" s="648">
        <v>374119.2</v>
      </c>
      <c r="N32" s="648">
        <v>7057794.4800000004</v>
      </c>
      <c r="O32" s="648">
        <v>850437.75</v>
      </c>
      <c r="P32" s="803"/>
      <c r="Q32" s="648">
        <v>374119.2</v>
      </c>
      <c r="R32" s="648">
        <v>7057794.4800000004</v>
      </c>
      <c r="S32" s="648">
        <v>850437.75</v>
      </c>
    </row>
    <row r="33" spans="1:19">
      <c r="A33" s="821">
        <f t="shared" si="8"/>
        <v>5.0599999999999987</v>
      </c>
      <c r="B33" s="648" t="s">
        <v>1223</v>
      </c>
      <c r="C33" s="648">
        <f t="shared" si="2"/>
        <v>-2112377.31</v>
      </c>
      <c r="D33" s="648">
        <f t="shared" si="3"/>
        <v>-2368029.6300000004</v>
      </c>
      <c r="E33" s="803"/>
      <c r="F33" s="803"/>
      <c r="G33" s="803">
        <f t="shared" si="4"/>
        <v>-2240203</v>
      </c>
      <c r="H33" s="803"/>
      <c r="I33" s="803">
        <f t="shared" si="5"/>
        <v>-70268.100000000006</v>
      </c>
      <c r="J33" s="803">
        <f t="shared" si="6"/>
        <v>-92609.540000000008</v>
      </c>
      <c r="K33" s="803">
        <f t="shared" si="7"/>
        <v>-2077325.83</v>
      </c>
      <c r="L33" s="803"/>
      <c r="M33" s="648">
        <v>-70268.100000000006</v>
      </c>
      <c r="N33" s="648">
        <v>-92609.540000000008</v>
      </c>
      <c r="O33" s="648">
        <v>-1949499.67</v>
      </c>
      <c r="P33" s="803"/>
      <c r="Q33" s="648">
        <v>-70268.100000000006</v>
      </c>
      <c r="R33" s="648">
        <v>-92609.540000000008</v>
      </c>
      <c r="S33" s="648">
        <v>-2205151.9900000002</v>
      </c>
    </row>
    <row r="34" spans="1:19">
      <c r="A34" s="821">
        <f t="shared" si="8"/>
        <v>5.0699999999999985</v>
      </c>
      <c r="B34" s="648" t="s">
        <v>1224</v>
      </c>
      <c r="C34" s="648">
        <f t="shared" si="2"/>
        <v>6445748.8200000003</v>
      </c>
      <c r="D34" s="648">
        <f t="shared" si="3"/>
        <v>11472089.369999999</v>
      </c>
      <c r="E34" s="803"/>
      <c r="F34" s="803"/>
      <c r="G34" s="803">
        <f t="shared" si="4"/>
        <v>8958919</v>
      </c>
      <c r="H34" s="803"/>
      <c r="I34" s="803">
        <f t="shared" si="5"/>
        <v>3788561.0700000003</v>
      </c>
      <c r="J34" s="803">
        <f t="shared" si="6"/>
        <v>2169278.79</v>
      </c>
      <c r="K34" s="803">
        <f t="shared" si="7"/>
        <v>3001079.2350000003</v>
      </c>
      <c r="L34" s="803"/>
      <c r="M34" s="648">
        <v>3074691.69</v>
      </c>
      <c r="N34" s="648">
        <v>1030996.68</v>
      </c>
      <c r="O34" s="648">
        <v>2340060.4500000002</v>
      </c>
      <c r="P34" s="803"/>
      <c r="Q34" s="648">
        <v>4502430.45</v>
      </c>
      <c r="R34" s="648">
        <v>3307560.9</v>
      </c>
      <c r="S34" s="648">
        <v>3662098.02</v>
      </c>
    </row>
    <row r="35" spans="1:19">
      <c r="A35" s="821">
        <f t="shared" si="8"/>
        <v>5.0799999999999983</v>
      </c>
      <c r="B35" s="648" t="s">
        <v>1225</v>
      </c>
      <c r="C35" s="648">
        <f t="shared" si="2"/>
        <v>-12692429.52</v>
      </c>
      <c r="D35" s="648">
        <f t="shared" si="3"/>
        <v>-14130108.17</v>
      </c>
      <c r="E35" s="803"/>
      <c r="F35" s="803"/>
      <c r="G35" s="803">
        <f t="shared" si="4"/>
        <v>-13411269</v>
      </c>
      <c r="H35" s="803"/>
      <c r="I35" s="803">
        <f t="shared" si="5"/>
        <v>-4625776.87</v>
      </c>
      <c r="J35" s="803">
        <f t="shared" si="6"/>
        <v>-5486788.0499999998</v>
      </c>
      <c r="K35" s="803">
        <f t="shared" si="7"/>
        <v>-3298703.9249999998</v>
      </c>
      <c r="L35" s="803"/>
      <c r="M35" s="648">
        <v>-4585476.24</v>
      </c>
      <c r="N35" s="648">
        <v>-4975449.26</v>
      </c>
      <c r="O35" s="648">
        <v>-3131504.02</v>
      </c>
      <c r="P35" s="803"/>
      <c r="Q35" s="648">
        <v>-4666077.5</v>
      </c>
      <c r="R35" s="648">
        <v>-5998126.8399999999</v>
      </c>
      <c r="S35" s="648">
        <v>-3465903.83</v>
      </c>
    </row>
    <row r="36" spans="1:19">
      <c r="A36" s="821">
        <f t="shared" si="8"/>
        <v>5.0899999999999981</v>
      </c>
      <c r="B36" s="648" t="s">
        <v>1226</v>
      </c>
      <c r="C36" s="648">
        <f t="shared" si="2"/>
        <v>148835320.5</v>
      </c>
      <c r="D36" s="648">
        <f t="shared" si="3"/>
        <v>140785696.87</v>
      </c>
      <c r="E36" s="803"/>
      <c r="F36" s="803"/>
      <c r="G36" s="803">
        <f t="shared" si="4"/>
        <v>144810509</v>
      </c>
      <c r="H36" s="803"/>
      <c r="I36" s="803">
        <f t="shared" si="5"/>
        <v>43232567.710000001</v>
      </c>
      <c r="J36" s="803">
        <f t="shared" si="6"/>
        <v>49977497.780000001</v>
      </c>
      <c r="K36" s="803">
        <f t="shared" si="7"/>
        <v>51600443.195</v>
      </c>
      <c r="L36" s="803"/>
      <c r="M36" s="648">
        <v>45389390.560000002</v>
      </c>
      <c r="N36" s="648">
        <v>49675649.229999997</v>
      </c>
      <c r="O36" s="648">
        <v>53770280.710000001</v>
      </c>
      <c r="P36" s="803"/>
      <c r="Q36" s="648">
        <v>41075744.859999999</v>
      </c>
      <c r="R36" s="648">
        <v>50279346.329999998</v>
      </c>
      <c r="S36" s="648">
        <v>49430605.68</v>
      </c>
    </row>
    <row r="37" spans="1:19">
      <c r="A37" s="821">
        <f t="shared" si="8"/>
        <v>5.0999999999999979</v>
      </c>
      <c r="B37" s="648" t="s">
        <v>1235</v>
      </c>
      <c r="C37" s="648">
        <f t="shared" ref="C37" si="9">SUM(M37:O37)</f>
        <v>1787771.58</v>
      </c>
      <c r="D37" s="648">
        <f t="shared" ref="D37" si="10">SUM(Q37:S37)</f>
        <v>1787771.58</v>
      </c>
      <c r="E37" s="803"/>
      <c r="F37" s="803"/>
      <c r="G37" s="803">
        <f t="shared" ref="G37" si="11">ROUND(SUM(C37:F37)/2,0)</f>
        <v>1787772</v>
      </c>
      <c r="H37" s="803"/>
      <c r="I37" s="803">
        <f t="shared" ref="I37" si="12">(M37+Q37)/2</f>
        <v>1787771.58</v>
      </c>
      <c r="J37" s="803">
        <f t="shared" ref="J37" si="13">(N37+R37)/2</f>
        <v>0</v>
      </c>
      <c r="K37" s="803">
        <f t="shared" ref="K37" si="14">(O37+S37)/2</f>
        <v>0</v>
      </c>
      <c r="L37" s="803"/>
      <c r="M37" s="648">
        <v>1787771.58</v>
      </c>
      <c r="N37" s="648"/>
      <c r="O37" s="648"/>
      <c r="P37" s="803"/>
      <c r="Q37" s="648">
        <v>1787771.58</v>
      </c>
      <c r="R37" s="648"/>
      <c r="S37" s="648"/>
    </row>
    <row r="38" spans="1:19">
      <c r="A38" s="821">
        <f t="shared" si="8"/>
        <v>5.1099999999999977</v>
      </c>
      <c r="B38" s="648" t="s">
        <v>1227</v>
      </c>
      <c r="C38" s="648">
        <f t="shared" si="2"/>
        <v>659476.8600000001</v>
      </c>
      <c r="D38" s="648">
        <f t="shared" si="3"/>
        <v>659476.8600000001</v>
      </c>
      <c r="E38" s="803"/>
      <c r="F38" s="803"/>
      <c r="G38" s="803">
        <f t="shared" si="4"/>
        <v>659477</v>
      </c>
      <c r="H38" s="803"/>
      <c r="I38" s="803">
        <f t="shared" si="5"/>
        <v>652234.80000000005</v>
      </c>
      <c r="J38" s="803">
        <f t="shared" si="6"/>
        <v>7242.06</v>
      </c>
      <c r="K38" s="803">
        <f t="shared" si="7"/>
        <v>0</v>
      </c>
      <c r="L38" s="803"/>
      <c r="M38" s="648">
        <v>652234.80000000005</v>
      </c>
      <c r="N38" s="648">
        <v>7242.06</v>
      </c>
      <c r="O38" s="648"/>
      <c r="P38" s="803"/>
      <c r="Q38" s="648">
        <v>652234.80000000005</v>
      </c>
      <c r="R38" s="648">
        <v>7242.06</v>
      </c>
      <c r="S38" s="648"/>
    </row>
    <row r="39" spans="1:19">
      <c r="A39" s="821">
        <f t="shared" si="8"/>
        <v>5.1199999999999974</v>
      </c>
      <c r="B39" s="648" t="s">
        <v>1228</v>
      </c>
      <c r="C39" s="648">
        <f t="shared" si="2"/>
        <v>1037809.57</v>
      </c>
      <c r="D39" s="648">
        <f t="shared" si="3"/>
        <v>1109182.48</v>
      </c>
      <c r="E39" s="803"/>
      <c r="F39" s="803"/>
      <c r="G39" s="803">
        <f t="shared" si="4"/>
        <v>1073496</v>
      </c>
      <c r="H39" s="803"/>
      <c r="I39" s="803">
        <f t="shared" si="5"/>
        <v>0</v>
      </c>
      <c r="J39" s="803">
        <f t="shared" si="6"/>
        <v>14247.24</v>
      </c>
      <c r="K39" s="803">
        <f t="shared" si="7"/>
        <v>1059248.7849999999</v>
      </c>
      <c r="L39" s="803"/>
      <c r="M39" s="648"/>
      <c r="N39" s="648">
        <v>14247.24</v>
      </c>
      <c r="O39" s="648">
        <v>1023562.33</v>
      </c>
      <c r="P39" s="803"/>
      <c r="Q39" s="648"/>
      <c r="R39" s="648">
        <v>14247.24</v>
      </c>
      <c r="S39" s="648">
        <v>1094935.24</v>
      </c>
    </row>
    <row r="40" spans="1:19">
      <c r="A40" s="821">
        <f t="shared" si="8"/>
        <v>5.1299999999999972</v>
      </c>
      <c r="B40" s="648" t="s">
        <v>1229</v>
      </c>
      <c r="C40" s="648">
        <f t="shared" si="2"/>
        <v>118850092.19</v>
      </c>
      <c r="D40" s="648">
        <f t="shared" si="3"/>
        <v>129686870.72</v>
      </c>
      <c r="E40" s="803"/>
      <c r="F40" s="803"/>
      <c r="G40" s="803">
        <f t="shared" si="4"/>
        <v>124268481</v>
      </c>
      <c r="H40" s="803"/>
      <c r="I40" s="803">
        <f t="shared" si="5"/>
        <v>41978883.57</v>
      </c>
      <c r="J40" s="803">
        <f t="shared" si="6"/>
        <v>23171369.414999999</v>
      </c>
      <c r="K40" s="803">
        <f t="shared" si="7"/>
        <v>59118228.469999999</v>
      </c>
      <c r="L40" s="803"/>
      <c r="M40" s="648">
        <v>40495590.600000001</v>
      </c>
      <c r="N40" s="648">
        <v>21510407.350000001</v>
      </c>
      <c r="O40" s="648">
        <v>56844094.240000002</v>
      </c>
      <c r="P40" s="803"/>
      <c r="Q40" s="648">
        <v>43462176.539999999</v>
      </c>
      <c r="R40" s="648">
        <v>24832331.48</v>
      </c>
      <c r="S40" s="648">
        <v>61392362.700000003</v>
      </c>
    </row>
    <row r="41" spans="1:19">
      <c r="A41" s="821">
        <f t="shared" si="8"/>
        <v>5.139999999999997</v>
      </c>
      <c r="B41" s="648" t="s">
        <v>1230</v>
      </c>
      <c r="C41" s="648">
        <f t="shared" si="2"/>
        <v>8974.0500000000011</v>
      </c>
      <c r="D41" s="648">
        <f t="shared" si="3"/>
        <v>6784.76</v>
      </c>
      <c r="E41" s="803"/>
      <c r="F41" s="803"/>
      <c r="G41" s="803">
        <f t="shared" si="4"/>
        <v>7879</v>
      </c>
      <c r="H41" s="803"/>
      <c r="I41" s="803">
        <f t="shared" si="5"/>
        <v>-338.82</v>
      </c>
      <c r="J41" s="803">
        <f t="shared" si="6"/>
        <v>-7.68</v>
      </c>
      <c r="K41" s="803">
        <f t="shared" si="7"/>
        <v>8225.9050000000007</v>
      </c>
      <c r="L41" s="803"/>
      <c r="M41" s="648">
        <v>-338.82</v>
      </c>
      <c r="N41" s="648">
        <v>-7.68</v>
      </c>
      <c r="O41" s="648">
        <v>9320.5500000000011</v>
      </c>
      <c r="P41" s="803"/>
      <c r="Q41" s="648">
        <v>-338.82</v>
      </c>
      <c r="R41" s="648">
        <v>-7.68</v>
      </c>
      <c r="S41" s="648">
        <v>7131.26</v>
      </c>
    </row>
    <row r="42" spans="1:19">
      <c r="A42" s="821">
        <f t="shared" si="8"/>
        <v>5.1499999999999968</v>
      </c>
      <c r="B42" s="648" t="s">
        <v>1231</v>
      </c>
      <c r="C42" s="648">
        <f t="shared" si="2"/>
        <v>-30194091.219999999</v>
      </c>
      <c r="D42" s="648">
        <f t="shared" si="3"/>
        <v>-30194091.219999999</v>
      </c>
      <c r="E42" s="803"/>
      <c r="F42" s="803"/>
      <c r="G42" s="803">
        <f t="shared" si="4"/>
        <v>-30194091</v>
      </c>
      <c r="H42" s="803"/>
      <c r="I42" s="803">
        <f t="shared" si="5"/>
        <v>-5600477.9900000002</v>
      </c>
      <c r="J42" s="803">
        <f t="shared" si="6"/>
        <v>-10208168.35</v>
      </c>
      <c r="K42" s="803">
        <f t="shared" si="7"/>
        <v>-14385444.880000001</v>
      </c>
      <c r="L42" s="803"/>
      <c r="M42" s="648">
        <v>-5600477.9900000002</v>
      </c>
      <c r="N42" s="648">
        <v>-10208168.35</v>
      </c>
      <c r="O42" s="648">
        <v>-14385444.880000001</v>
      </c>
      <c r="P42" s="803"/>
      <c r="Q42" s="648">
        <v>-5600477.9900000002</v>
      </c>
      <c r="R42" s="648">
        <v>-10208168.35</v>
      </c>
      <c r="S42" s="648">
        <v>-14385444.880000001</v>
      </c>
    </row>
    <row r="43" spans="1:19">
      <c r="A43" s="821">
        <f t="shared" si="8"/>
        <v>5.1599999999999966</v>
      </c>
      <c r="B43" s="648" t="s">
        <v>1232</v>
      </c>
      <c r="C43" s="648">
        <f t="shared" si="2"/>
        <v>-0.21</v>
      </c>
      <c r="D43" s="648">
        <f t="shared" si="3"/>
        <v>0</v>
      </c>
      <c r="E43" s="803"/>
      <c r="F43" s="803"/>
      <c r="G43" s="803">
        <f t="shared" si="4"/>
        <v>0</v>
      </c>
      <c r="H43" s="803"/>
      <c r="I43" s="803">
        <f t="shared" si="5"/>
        <v>0</v>
      </c>
      <c r="J43" s="803">
        <f t="shared" si="6"/>
        <v>0</v>
      </c>
      <c r="K43" s="803">
        <f t="shared" si="7"/>
        <v>-0.105</v>
      </c>
      <c r="L43" s="803"/>
      <c r="M43" s="648">
        <v>0</v>
      </c>
      <c r="N43" s="648"/>
      <c r="O43" s="648">
        <v>-0.21</v>
      </c>
      <c r="P43" s="803"/>
      <c r="Q43" s="648"/>
      <c r="R43" s="648"/>
      <c r="S43" s="648"/>
    </row>
    <row r="44" spans="1:19">
      <c r="A44" s="821">
        <f t="shared" si="8"/>
        <v>5.1699999999999964</v>
      </c>
      <c r="B44" s="648" t="s">
        <v>1233</v>
      </c>
      <c r="C44" s="648">
        <f t="shared" si="2"/>
        <v>-3525197.97</v>
      </c>
      <c r="D44" s="648">
        <f t="shared" si="3"/>
        <v>0</v>
      </c>
      <c r="E44" s="803"/>
      <c r="F44" s="803"/>
      <c r="G44" s="803">
        <f t="shared" si="4"/>
        <v>-1762599</v>
      </c>
      <c r="H44" s="803"/>
      <c r="I44" s="803">
        <f t="shared" si="5"/>
        <v>-792423.66</v>
      </c>
      <c r="J44" s="803">
        <f t="shared" si="6"/>
        <v>-255368.4</v>
      </c>
      <c r="K44" s="803">
        <f t="shared" si="7"/>
        <v>-714806.92500000005</v>
      </c>
      <c r="L44" s="803"/>
      <c r="M44" s="648">
        <v>-1584847.32</v>
      </c>
      <c r="N44" s="648">
        <v>-510736.8</v>
      </c>
      <c r="O44" s="648">
        <v>-1429613.85</v>
      </c>
      <c r="P44" s="803"/>
      <c r="Q44" s="648"/>
      <c r="R44" s="648"/>
      <c r="S44" s="648"/>
    </row>
    <row r="45" spans="1:19">
      <c r="A45" s="821">
        <f t="shared" si="8"/>
        <v>5.1799999999999962</v>
      </c>
      <c r="B45" s="648" t="s">
        <v>1234</v>
      </c>
      <c r="C45" s="648">
        <f t="shared" si="2"/>
        <v>248459.41000000003</v>
      </c>
      <c r="D45" s="648">
        <f t="shared" si="3"/>
        <v>757101.26</v>
      </c>
      <c r="E45" s="803"/>
      <c r="F45" s="803"/>
      <c r="G45" s="803">
        <f t="shared" si="4"/>
        <v>502780</v>
      </c>
      <c r="H45" s="803"/>
      <c r="I45" s="803">
        <f t="shared" si="5"/>
        <v>44516.12</v>
      </c>
      <c r="J45" s="803">
        <f t="shared" si="6"/>
        <v>-18177.649999999998</v>
      </c>
      <c r="K45" s="803">
        <f t="shared" si="7"/>
        <v>476441.86499999999</v>
      </c>
      <c r="L45" s="803"/>
      <c r="M45" s="648">
        <v>49609.950000000004</v>
      </c>
      <c r="N45" s="648">
        <v>-91797.56</v>
      </c>
      <c r="O45" s="648">
        <v>290647.02</v>
      </c>
      <c r="P45" s="803"/>
      <c r="Q45" s="648">
        <v>39422.29</v>
      </c>
      <c r="R45" s="648">
        <v>55442.26</v>
      </c>
      <c r="S45" s="648">
        <v>662236.71</v>
      </c>
    </row>
    <row r="46" spans="1:19">
      <c r="A46" s="821">
        <f t="shared" si="8"/>
        <v>5.1899999999999959</v>
      </c>
      <c r="B46" s="648" t="s">
        <v>1236</v>
      </c>
      <c r="C46" s="648">
        <f t="shared" si="2"/>
        <v>-168.6</v>
      </c>
      <c r="D46" s="648">
        <f t="shared" si="3"/>
        <v>-168.6</v>
      </c>
      <c r="E46" s="803"/>
      <c r="F46" s="803"/>
      <c r="G46" s="803">
        <f t="shared" si="4"/>
        <v>-169</v>
      </c>
      <c r="H46" s="803"/>
      <c r="I46" s="803">
        <f t="shared" si="5"/>
        <v>-168.6</v>
      </c>
      <c r="J46" s="803">
        <f t="shared" si="6"/>
        <v>0</v>
      </c>
      <c r="K46" s="803">
        <f t="shared" si="7"/>
        <v>0</v>
      </c>
      <c r="L46" s="803"/>
      <c r="M46" s="648">
        <v>-168.6</v>
      </c>
      <c r="N46" s="648"/>
      <c r="O46" s="648"/>
      <c r="P46" s="803"/>
      <c r="Q46" s="648">
        <v>-168.6</v>
      </c>
      <c r="R46" s="648"/>
      <c r="S46" s="648"/>
    </row>
    <row r="47" spans="1:19">
      <c r="A47" s="821">
        <f t="shared" si="8"/>
        <v>5.1999999999999957</v>
      </c>
      <c r="B47" s="648" t="s">
        <v>1237</v>
      </c>
      <c r="C47" s="648">
        <f t="shared" si="2"/>
        <v>-0.05</v>
      </c>
      <c r="D47" s="648">
        <f t="shared" si="3"/>
        <v>-0.05</v>
      </c>
      <c r="E47" s="803"/>
      <c r="F47" s="803"/>
      <c r="G47" s="803">
        <f t="shared" si="4"/>
        <v>0</v>
      </c>
      <c r="H47" s="803"/>
      <c r="I47" s="803">
        <f t="shared" si="5"/>
        <v>0</v>
      </c>
      <c r="J47" s="803">
        <f t="shared" si="6"/>
        <v>-0.05</v>
      </c>
      <c r="K47" s="803">
        <f t="shared" si="7"/>
        <v>0</v>
      </c>
      <c r="L47" s="803"/>
      <c r="M47" s="648"/>
      <c r="N47" s="648">
        <v>-0.05</v>
      </c>
      <c r="O47" s="648"/>
      <c r="P47" s="803"/>
      <c r="Q47" s="648"/>
      <c r="R47" s="648">
        <v>-0.05</v>
      </c>
      <c r="S47" s="648"/>
    </row>
    <row r="48" spans="1:19">
      <c r="A48" s="821">
        <f>A47+0.01</f>
        <v>5.2099999999999955</v>
      </c>
      <c r="B48" s="1051" t="s">
        <v>1070</v>
      </c>
      <c r="C48" s="1051">
        <f t="shared" ref="C48" si="15">SUM(M48:O48)</f>
        <v>-13983403.063725753</v>
      </c>
      <c r="D48" s="1051">
        <f t="shared" ref="D48" si="16">SUM(Q48:S48)</f>
        <v>-9523499.1673604175</v>
      </c>
      <c r="E48" s="1052"/>
      <c r="F48" s="1052"/>
      <c r="G48" s="803">
        <f t="shared" ref="G48:G53" si="17">ROUND(SUM(C48:F48)/2,0)</f>
        <v>-11753451</v>
      </c>
      <c r="H48" s="803"/>
      <c r="I48" s="803">
        <f t="shared" ref="I48:K48" si="18">(M48+Q48)/2</f>
        <v>-4871846.121604708</v>
      </c>
      <c r="J48" s="803">
        <f t="shared" si="18"/>
        <v>-2009758.8723336686</v>
      </c>
      <c r="K48" s="803">
        <f t="shared" si="18"/>
        <v>-4871846.121604708</v>
      </c>
      <c r="L48" s="803"/>
      <c r="M48" s="648">
        <v>-4981942.6595292073</v>
      </c>
      <c r="N48" s="648">
        <v>-4019517.7446673373</v>
      </c>
      <c r="O48" s="648">
        <v>-4981942.6595292073</v>
      </c>
      <c r="P48" s="803"/>
      <c r="Q48" s="648">
        <v>-4761749.5836802088</v>
      </c>
      <c r="R48" s="648">
        <v>0</v>
      </c>
      <c r="S48" s="648">
        <v>-4761749.5836802088</v>
      </c>
    </row>
    <row r="49" spans="1:19">
      <c r="A49" s="821">
        <f t="shared" si="8"/>
        <v>5.2199999999999953</v>
      </c>
      <c r="B49" s="1051" t="s">
        <v>1071</v>
      </c>
      <c r="C49" s="1051">
        <f>-E49</f>
        <v>13983403.063725753</v>
      </c>
      <c r="D49" s="1051">
        <f>-F49</f>
        <v>9523499.1673604175</v>
      </c>
      <c r="E49" s="1052">
        <f>C48</f>
        <v>-13983403.063725753</v>
      </c>
      <c r="F49" s="1052">
        <f>D48</f>
        <v>-9523499.1673604175</v>
      </c>
      <c r="G49" s="803">
        <f t="shared" si="17"/>
        <v>0</v>
      </c>
      <c r="H49" s="803"/>
      <c r="I49" s="803"/>
      <c r="J49" s="803"/>
      <c r="K49" s="803"/>
      <c r="L49" s="803"/>
      <c r="M49" s="1053"/>
      <c r="N49" s="1053"/>
      <c r="O49" s="1053"/>
      <c r="P49" s="803"/>
      <c r="Q49" s="1053"/>
      <c r="R49" s="1053"/>
      <c r="S49" s="1053"/>
    </row>
    <row r="50" spans="1:19">
      <c r="A50" s="821">
        <f t="shared" si="8"/>
        <v>5.2299999999999951</v>
      </c>
      <c r="B50" s="648" t="s">
        <v>931</v>
      </c>
      <c r="C50" s="648">
        <f>-E50</f>
        <v>0</v>
      </c>
      <c r="D50" s="648">
        <f>-F50</f>
        <v>0</v>
      </c>
      <c r="E50" s="803">
        <v>0</v>
      </c>
      <c r="F50" s="803">
        <v>0</v>
      </c>
      <c r="G50" s="803">
        <f t="shared" si="17"/>
        <v>0</v>
      </c>
      <c r="H50" s="803"/>
      <c r="I50" s="803"/>
      <c r="J50" s="803"/>
      <c r="K50" s="803"/>
      <c r="L50" s="803"/>
      <c r="M50" s="803"/>
      <c r="N50" s="803"/>
      <c r="O50" s="803"/>
      <c r="P50" s="803"/>
      <c r="Q50" s="803"/>
      <c r="R50" s="803"/>
      <c r="S50" s="803"/>
    </row>
    <row r="51" spans="1:19">
      <c r="A51" s="821">
        <f t="shared" si="8"/>
        <v>5.2399999999999949</v>
      </c>
      <c r="B51" s="648" t="s">
        <v>943</v>
      </c>
      <c r="C51" s="648">
        <f t="shared" ref="C51:C53" si="19">-E51</f>
        <v>35475415.390000001</v>
      </c>
      <c r="D51" s="648">
        <f t="shared" ref="D51:D53" si="20">-F51</f>
        <v>33779862.490000002</v>
      </c>
      <c r="E51" s="803">
        <v>-35475415.390000001</v>
      </c>
      <c r="F51" s="803">
        <v>-33779862.490000002</v>
      </c>
      <c r="G51" s="803">
        <f t="shared" si="17"/>
        <v>0</v>
      </c>
      <c r="H51" s="803"/>
      <c r="I51" s="803"/>
      <c r="J51" s="803"/>
      <c r="K51" s="803"/>
      <c r="L51" s="803"/>
      <c r="M51" s="803"/>
      <c r="N51" s="803"/>
      <c r="O51" s="803"/>
      <c r="P51" s="803"/>
      <c r="Q51" s="803"/>
      <c r="R51" s="803"/>
      <c r="S51" s="803"/>
    </row>
    <row r="52" spans="1:19">
      <c r="A52" s="821">
        <f t="shared" si="8"/>
        <v>5.2499999999999947</v>
      </c>
      <c r="B52" s="648" t="s">
        <v>1358</v>
      </c>
      <c r="C52" s="648">
        <f t="shared" ref="C52" si="21">-E52</f>
        <v>0</v>
      </c>
      <c r="D52" s="648">
        <f t="shared" ref="D52" si="22">-F52</f>
        <v>1868841.4100000001</v>
      </c>
      <c r="E52" s="803">
        <v>0</v>
      </c>
      <c r="F52" s="803">
        <v>-1868841.4100000001</v>
      </c>
      <c r="G52" s="803">
        <f t="shared" ref="G52" si="23">ROUND(SUM(C52:F52)/2,0)</f>
        <v>0</v>
      </c>
      <c r="H52" s="803"/>
      <c r="I52" s="803"/>
      <c r="J52" s="803"/>
      <c r="K52" s="803"/>
      <c r="L52" s="803"/>
      <c r="M52" s="803"/>
      <c r="N52" s="803"/>
      <c r="O52" s="803"/>
      <c r="P52" s="803"/>
      <c r="Q52" s="803"/>
      <c r="R52" s="803"/>
      <c r="S52" s="803"/>
    </row>
    <row r="53" spans="1:19">
      <c r="A53" s="821">
        <f t="shared" si="8"/>
        <v>5.2599999999999945</v>
      </c>
      <c r="B53" s="648" t="s">
        <v>944</v>
      </c>
      <c r="C53" s="648">
        <f t="shared" si="19"/>
        <v>-71729881.010000005</v>
      </c>
      <c r="D53" s="648">
        <f t="shared" si="20"/>
        <v>-68708093.010000005</v>
      </c>
      <c r="E53" s="803">
        <v>71729881.010000005</v>
      </c>
      <c r="F53" s="803">
        <v>68708093.010000005</v>
      </c>
      <c r="G53" s="803">
        <f t="shared" si="17"/>
        <v>0</v>
      </c>
      <c r="H53" s="803"/>
      <c r="I53" s="803"/>
      <c r="J53" s="803"/>
      <c r="K53" s="803"/>
      <c r="L53" s="803"/>
      <c r="M53" s="803"/>
      <c r="N53" s="803"/>
      <c r="O53" s="803"/>
      <c r="P53" s="803"/>
      <c r="Q53" s="803"/>
      <c r="R53" s="803"/>
      <c r="S53" s="803"/>
    </row>
    <row r="54" spans="1:19">
      <c r="A54"/>
    </row>
    <row r="55" spans="1:19">
      <c r="A55" s="811"/>
      <c r="B55" s="796"/>
      <c r="C55" s="803"/>
      <c r="D55" s="803"/>
      <c r="E55" s="803"/>
      <c r="F55" s="803"/>
      <c r="G55" s="803"/>
      <c r="H55" s="803"/>
      <c r="I55" s="803"/>
      <c r="J55" s="803"/>
      <c r="K55" s="803"/>
      <c r="L55" s="803"/>
      <c r="M55" s="803"/>
      <c r="N55" s="803"/>
      <c r="O55" s="803"/>
      <c r="P55" s="803"/>
      <c r="Q55" s="803"/>
      <c r="R55" s="803"/>
      <c r="S55" s="803"/>
    </row>
    <row r="56" spans="1:19" ht="13.5" thickBot="1">
      <c r="A56" s="811">
        <v>6</v>
      </c>
      <c r="B56" t="s">
        <v>729</v>
      </c>
      <c r="C56" s="806">
        <f>SUM(C28:C55)</f>
        <v>287551685.05000001</v>
      </c>
      <c r="D56" s="806">
        <f>SUM(D28:D55)</f>
        <v>297325093.54999995</v>
      </c>
      <c r="E56" s="806">
        <f>SUM(E28:E55)</f>
        <v>22271062.55627425</v>
      </c>
      <c r="F56" s="806">
        <f>SUM(F28:F55)</f>
        <v>23535889.942639589</v>
      </c>
      <c r="G56" s="806">
        <f>SUM(G28:G55)</f>
        <v>315341866</v>
      </c>
      <c r="H56" s="803"/>
      <c r="I56" s="806">
        <f>SUM(I28:I55)</f>
        <v>104543307.24839531</v>
      </c>
      <c r="J56" s="806">
        <f>SUM(J28:J55)</f>
        <v>94275619.187666312</v>
      </c>
      <c r="K56" s="806">
        <f>SUM(K28:K55)</f>
        <v>116522939.11339529</v>
      </c>
      <c r="L56" s="803"/>
      <c r="M56" s="806">
        <f>SUM(M28:M55)</f>
        <v>104734562.7704708</v>
      </c>
      <c r="N56" s="806">
        <f>SUM(N28:N55)</f>
        <v>89870980.235332653</v>
      </c>
      <c r="O56" s="806">
        <f>SUM(O28:O55)</f>
        <v>115217204.60047081</v>
      </c>
      <c r="P56" s="803"/>
      <c r="Q56" s="806">
        <f>SUM(Q28:Q55)</f>
        <v>104352051.72631979</v>
      </c>
      <c r="R56" s="806">
        <f>SUM(R28:R55)</f>
        <v>98680258.140000001</v>
      </c>
      <c r="S56" s="806">
        <f>SUM(S28:S55)</f>
        <v>117828673.62631978</v>
      </c>
    </row>
    <row r="57" spans="1:19" ht="13.5" thickTop="1">
      <c r="A57" s="811">
        <f>A56+1</f>
        <v>7</v>
      </c>
      <c r="B57" s="20" t="s">
        <v>742</v>
      </c>
      <c r="C57" s="807">
        <f>C31</f>
        <v>5913733.3900000006</v>
      </c>
      <c r="D57" s="807">
        <f>D31</f>
        <v>4432011.6100000003</v>
      </c>
      <c r="E57" s="807">
        <f>E31</f>
        <v>0</v>
      </c>
      <c r="F57" s="807">
        <f>F31</f>
        <v>0</v>
      </c>
      <c r="G57" s="807">
        <f>G31</f>
        <v>5172873</v>
      </c>
      <c r="H57" s="803"/>
      <c r="I57" s="807">
        <f>I31</f>
        <v>5192989.5150000006</v>
      </c>
      <c r="J57" s="807">
        <f>J31</f>
        <v>0</v>
      </c>
      <c r="K57" s="807">
        <f>K31</f>
        <v>-20117.014999999999</v>
      </c>
      <c r="L57" s="807"/>
      <c r="M57" s="807">
        <f>M31</f>
        <v>5917279.2000000002</v>
      </c>
      <c r="N57" s="807">
        <f>N31</f>
        <v>0</v>
      </c>
      <c r="O57" s="807">
        <f>O31</f>
        <v>-3545.81</v>
      </c>
      <c r="P57" s="803"/>
      <c r="Q57" s="807">
        <f>Q31</f>
        <v>4468699.83</v>
      </c>
      <c r="R57" s="807">
        <f>R31</f>
        <v>0</v>
      </c>
      <c r="S57" s="807">
        <f>S31</f>
        <v>-36688.22</v>
      </c>
    </row>
    <row r="58" spans="1:19">
      <c r="A58" s="811"/>
      <c r="C58" s="803"/>
      <c r="D58" s="803"/>
      <c r="E58" s="803"/>
      <c r="F58" s="803"/>
      <c r="G58" s="803"/>
      <c r="H58" s="803"/>
      <c r="I58" s="803"/>
      <c r="J58" s="803"/>
      <c r="K58" s="803"/>
      <c r="L58" s="803"/>
      <c r="M58" s="803"/>
      <c r="N58" s="803"/>
      <c r="O58" s="803"/>
      <c r="P58" s="803"/>
      <c r="Q58" s="803"/>
      <c r="R58" s="803"/>
      <c r="S58" s="803"/>
    </row>
    <row r="59" spans="1:19">
      <c r="A59" s="811">
        <v>8</v>
      </c>
      <c r="B59" t="s">
        <v>730</v>
      </c>
      <c r="C59" s="803" t="s">
        <v>116</v>
      </c>
      <c r="D59" s="803"/>
      <c r="E59" s="803"/>
      <c r="F59" s="803"/>
      <c r="G59" s="803"/>
      <c r="H59" s="803"/>
      <c r="I59" s="803"/>
      <c r="J59" s="803"/>
      <c r="K59" s="803"/>
      <c r="L59" s="803"/>
      <c r="M59" s="803"/>
      <c r="N59" s="803"/>
      <c r="O59" s="803"/>
      <c r="P59" s="803"/>
      <c r="Q59" s="803"/>
      <c r="R59" s="803"/>
      <c r="S59" s="803"/>
    </row>
    <row r="60" spans="1:19">
      <c r="A60" s="811"/>
      <c r="B60" s="796"/>
      <c r="C60" s="803"/>
      <c r="D60" s="803"/>
      <c r="E60" s="803"/>
      <c r="F60" s="803"/>
      <c r="G60" s="803"/>
      <c r="H60" s="803"/>
      <c r="I60" s="803"/>
      <c r="J60" s="803"/>
      <c r="K60" s="803"/>
      <c r="L60" s="803"/>
      <c r="M60" s="803"/>
      <c r="N60" s="803"/>
      <c r="O60" s="803"/>
      <c r="P60" s="803"/>
      <c r="Q60" s="803"/>
      <c r="R60" s="803"/>
      <c r="S60" s="803"/>
    </row>
    <row r="61" spans="1:19">
      <c r="A61" s="821">
        <f>9+0.01</f>
        <v>9.01</v>
      </c>
      <c r="B61" s="648" t="s">
        <v>1238</v>
      </c>
      <c r="C61" s="648">
        <f t="shared" ref="C61:C129" si="24">SUM(M61:O61)</f>
        <v>-971034.8600000001</v>
      </c>
      <c r="D61" s="648">
        <f t="shared" ref="D61:D129" si="25">SUM(Q61:S61)</f>
        <v>-416641.86000000004</v>
      </c>
      <c r="E61" s="803"/>
      <c r="F61" s="803"/>
      <c r="G61" s="803">
        <f t="shared" ref="G61:G129" si="26">ROUND(SUM(C61:F61)/2,0)</f>
        <v>-693838</v>
      </c>
      <c r="H61" s="803"/>
      <c r="I61" s="803">
        <f t="shared" ref="I61:I129" si="27">(M61+Q61)/2</f>
        <v>34059.229999999996</v>
      </c>
      <c r="J61" s="803">
        <f t="shared" ref="J61:J129" si="28">(N61+R61)/2</f>
        <v>-730437.31</v>
      </c>
      <c r="K61" s="803">
        <f t="shared" ref="K61:K129" si="29">(O61+S61)/2</f>
        <v>2539.7200000000003</v>
      </c>
      <c r="L61" s="803"/>
      <c r="M61" s="648">
        <v>68120.73</v>
      </c>
      <c r="N61" s="648">
        <v>-1044232.81</v>
      </c>
      <c r="O61" s="648">
        <v>5077.22</v>
      </c>
      <c r="P61" s="803"/>
      <c r="Q61" s="648">
        <v>-2.27</v>
      </c>
      <c r="R61" s="648">
        <v>-416641.81</v>
      </c>
      <c r="S61" s="648">
        <v>2.2200000000000002</v>
      </c>
    </row>
    <row r="62" spans="1:19">
      <c r="A62" s="821">
        <f t="shared" ref="A62:A139" si="30">A61+0.01</f>
        <v>9.02</v>
      </c>
      <c r="B62" s="648" t="s">
        <v>1239</v>
      </c>
      <c r="C62" s="648">
        <f t="shared" si="24"/>
        <v>3459725.2</v>
      </c>
      <c r="D62" s="648">
        <f t="shared" si="25"/>
        <v>3864659.52</v>
      </c>
      <c r="E62" s="803"/>
      <c r="F62" s="803"/>
      <c r="G62" s="803">
        <f t="shared" si="26"/>
        <v>3662192</v>
      </c>
      <c r="H62" s="803"/>
      <c r="I62" s="803">
        <f t="shared" si="27"/>
        <v>3508789.645</v>
      </c>
      <c r="J62" s="803">
        <f t="shared" si="28"/>
        <v>0</v>
      </c>
      <c r="K62" s="803">
        <f t="shared" si="29"/>
        <v>153402.715</v>
      </c>
      <c r="L62" s="803"/>
      <c r="M62" s="648">
        <v>3152919.77</v>
      </c>
      <c r="N62" s="648"/>
      <c r="O62" s="648">
        <v>306805.43</v>
      </c>
      <c r="P62" s="803"/>
      <c r="Q62" s="648">
        <v>3864659.52</v>
      </c>
      <c r="R62" s="648"/>
      <c r="S62" s="648"/>
    </row>
    <row r="63" spans="1:19">
      <c r="A63" s="821">
        <f t="shared" si="30"/>
        <v>9.0299999999999994</v>
      </c>
      <c r="B63" s="648" t="s">
        <v>1240</v>
      </c>
      <c r="C63" s="648">
        <f t="shared" si="24"/>
        <v>-806811.32000000007</v>
      </c>
      <c r="D63" s="648">
        <f t="shared" si="25"/>
        <v>60169.03</v>
      </c>
      <c r="E63" s="803"/>
      <c r="F63" s="803"/>
      <c r="G63" s="803">
        <f t="shared" si="26"/>
        <v>-373321</v>
      </c>
      <c r="H63" s="803"/>
      <c r="I63" s="803">
        <f t="shared" si="27"/>
        <v>-373321.14500000002</v>
      </c>
      <c r="J63" s="803">
        <f t="shared" si="28"/>
        <v>0</v>
      </c>
      <c r="K63" s="803">
        <f t="shared" si="29"/>
        <v>0</v>
      </c>
      <c r="L63" s="803"/>
      <c r="M63" s="648">
        <v>-806811.32000000007</v>
      </c>
      <c r="N63" s="648"/>
      <c r="O63" s="648"/>
      <c r="P63" s="803"/>
      <c r="Q63" s="648">
        <v>60169.03</v>
      </c>
      <c r="R63" s="648"/>
      <c r="S63" s="648"/>
    </row>
    <row r="64" spans="1:19">
      <c r="A64" s="821">
        <f t="shared" si="30"/>
        <v>9.0399999999999991</v>
      </c>
      <c r="B64" s="648" t="s">
        <v>1241</v>
      </c>
      <c r="C64" s="648">
        <f t="shared" si="24"/>
        <v>0.05</v>
      </c>
      <c r="D64" s="648">
        <f t="shared" si="25"/>
        <v>0.05</v>
      </c>
      <c r="E64" s="803"/>
      <c r="F64" s="803"/>
      <c r="G64" s="803">
        <f t="shared" si="26"/>
        <v>0</v>
      </c>
      <c r="H64" s="803"/>
      <c r="I64" s="803">
        <f t="shared" si="27"/>
        <v>0</v>
      </c>
      <c r="J64" s="803">
        <f t="shared" si="28"/>
        <v>0.05</v>
      </c>
      <c r="K64" s="803">
        <f t="shared" si="29"/>
        <v>0</v>
      </c>
      <c r="L64" s="803"/>
      <c r="M64" s="648"/>
      <c r="N64" s="648">
        <v>0.05</v>
      </c>
      <c r="O64" s="648"/>
      <c r="P64" s="803"/>
      <c r="Q64" s="648"/>
      <c r="R64" s="648">
        <v>0.05</v>
      </c>
      <c r="S64" s="648"/>
    </row>
    <row r="65" spans="1:19">
      <c r="A65" s="821">
        <f t="shared" si="30"/>
        <v>9.0499999999999989</v>
      </c>
      <c r="B65" s="648" t="s">
        <v>1189</v>
      </c>
      <c r="C65" s="648">
        <f t="shared" si="24"/>
        <v>-0.1</v>
      </c>
      <c r="D65" s="648">
        <f t="shared" si="25"/>
        <v>0</v>
      </c>
      <c r="E65" s="803"/>
      <c r="F65" s="803"/>
      <c r="G65" s="803">
        <f t="shared" si="26"/>
        <v>0</v>
      </c>
      <c r="H65" s="803"/>
      <c r="I65" s="803">
        <f t="shared" si="27"/>
        <v>-0.05</v>
      </c>
      <c r="J65" s="803">
        <f t="shared" si="28"/>
        <v>0</v>
      </c>
      <c r="K65" s="803">
        <f t="shared" si="29"/>
        <v>0</v>
      </c>
      <c r="L65" s="803"/>
      <c r="M65" s="648">
        <v>-0.1</v>
      </c>
      <c r="N65" s="648"/>
      <c r="O65" s="648"/>
      <c r="P65" s="803"/>
      <c r="Q65" s="648"/>
      <c r="R65" s="648"/>
      <c r="S65" s="648"/>
    </row>
    <row r="66" spans="1:19">
      <c r="A66" s="821">
        <f t="shared" si="30"/>
        <v>9.0599999999999987</v>
      </c>
      <c r="B66" s="648" t="s">
        <v>1242</v>
      </c>
      <c r="C66" s="648">
        <f t="shared" si="24"/>
        <v>134538.89000000001</v>
      </c>
      <c r="D66" s="648">
        <f t="shared" si="25"/>
        <v>256364.33000000002</v>
      </c>
      <c r="E66" s="803"/>
      <c r="F66" s="803"/>
      <c r="G66" s="803">
        <f t="shared" si="26"/>
        <v>195452</v>
      </c>
      <c r="H66" s="803"/>
      <c r="I66" s="803">
        <f t="shared" si="27"/>
        <v>0</v>
      </c>
      <c r="J66" s="803">
        <f t="shared" si="28"/>
        <v>0</v>
      </c>
      <c r="K66" s="803">
        <f t="shared" si="29"/>
        <v>195451.61000000002</v>
      </c>
      <c r="L66" s="803"/>
      <c r="M66" s="648"/>
      <c r="N66" s="648"/>
      <c r="O66" s="648">
        <v>134538.89000000001</v>
      </c>
      <c r="P66" s="803"/>
      <c r="Q66" s="648"/>
      <c r="R66" s="648"/>
      <c r="S66" s="648">
        <v>256364.33000000002</v>
      </c>
    </row>
    <row r="67" spans="1:19">
      <c r="A67" s="821">
        <f t="shared" si="30"/>
        <v>9.0699999999999985</v>
      </c>
      <c r="B67" s="648" t="s">
        <v>1243</v>
      </c>
      <c r="C67" s="648">
        <f t="shared" si="24"/>
        <v>1788337.1099999999</v>
      </c>
      <c r="D67" s="648">
        <f t="shared" si="25"/>
        <v>1784813.4300000002</v>
      </c>
      <c r="E67" s="803"/>
      <c r="F67" s="803"/>
      <c r="G67" s="803">
        <f t="shared" si="26"/>
        <v>1786575</v>
      </c>
      <c r="H67" s="803"/>
      <c r="I67" s="803">
        <f t="shared" si="27"/>
        <v>1786575.27</v>
      </c>
      <c r="J67" s="803">
        <f t="shared" si="28"/>
        <v>0</v>
      </c>
      <c r="K67" s="803">
        <f t="shared" si="29"/>
        <v>0</v>
      </c>
      <c r="L67" s="803"/>
      <c r="M67" s="648">
        <v>1788337.1099999999</v>
      </c>
      <c r="N67" s="648"/>
      <c r="O67" s="648"/>
      <c r="P67" s="803"/>
      <c r="Q67" s="648">
        <v>1784813.4300000002</v>
      </c>
      <c r="R67" s="648"/>
      <c r="S67" s="648"/>
    </row>
    <row r="68" spans="1:19">
      <c r="A68" s="821">
        <f t="shared" si="30"/>
        <v>9.0799999999999983</v>
      </c>
      <c r="B68" s="648" t="s">
        <v>1244</v>
      </c>
      <c r="C68" s="648">
        <f t="shared" si="24"/>
        <v>4010331.15</v>
      </c>
      <c r="D68" s="648">
        <f t="shared" si="25"/>
        <v>3545734.5</v>
      </c>
      <c r="E68" s="803"/>
      <c r="F68" s="803"/>
      <c r="G68" s="803">
        <f t="shared" si="26"/>
        <v>3778033</v>
      </c>
      <c r="H68" s="803"/>
      <c r="I68" s="803">
        <f t="shared" si="27"/>
        <v>-12056.519999999997</v>
      </c>
      <c r="J68" s="803">
        <f t="shared" si="28"/>
        <v>424900.45500000002</v>
      </c>
      <c r="K68" s="803">
        <f t="shared" si="29"/>
        <v>3365188.8899999997</v>
      </c>
      <c r="L68" s="803"/>
      <c r="M68" s="648">
        <v>82112.52</v>
      </c>
      <c r="N68" s="648">
        <v>419136.69</v>
      </c>
      <c r="O68" s="648">
        <v>3509081.94</v>
      </c>
      <c r="P68" s="803"/>
      <c r="Q68" s="648">
        <v>-106225.56</v>
      </c>
      <c r="R68" s="648">
        <v>430664.22000000003</v>
      </c>
      <c r="S68" s="648">
        <v>3221295.84</v>
      </c>
    </row>
    <row r="69" spans="1:19">
      <c r="A69" s="821">
        <f t="shared" si="30"/>
        <v>9.0899999999999981</v>
      </c>
      <c r="B69" s="648" t="s">
        <v>1245</v>
      </c>
      <c r="C69" s="648">
        <f t="shared" si="24"/>
        <v>-31843.98</v>
      </c>
      <c r="D69" s="648">
        <f t="shared" si="25"/>
        <v>285404.49</v>
      </c>
      <c r="E69" s="803"/>
      <c r="F69" s="803"/>
      <c r="G69" s="803">
        <f t="shared" si="26"/>
        <v>126780</v>
      </c>
      <c r="H69" s="803"/>
      <c r="I69" s="803">
        <f t="shared" si="27"/>
        <v>-484.26</v>
      </c>
      <c r="J69" s="803">
        <f t="shared" si="28"/>
        <v>160308.435</v>
      </c>
      <c r="K69" s="803">
        <f t="shared" si="29"/>
        <v>-33043.919999999998</v>
      </c>
      <c r="L69" s="803"/>
      <c r="M69" s="648">
        <v>-484.26</v>
      </c>
      <c r="N69" s="648"/>
      <c r="O69" s="648">
        <v>-31359.72</v>
      </c>
      <c r="P69" s="803"/>
      <c r="Q69" s="648">
        <v>-484.26</v>
      </c>
      <c r="R69" s="648">
        <v>320616.87</v>
      </c>
      <c r="S69" s="648">
        <v>-34728.120000000003</v>
      </c>
    </row>
    <row r="70" spans="1:19">
      <c r="A70" s="821">
        <f t="shared" si="30"/>
        <v>9.0999999999999979</v>
      </c>
      <c r="B70" s="648" t="s">
        <v>1246</v>
      </c>
      <c r="C70" s="648">
        <f t="shared" si="24"/>
        <v>-1096016.8799999999</v>
      </c>
      <c r="D70" s="648">
        <f t="shared" si="25"/>
        <v>-2234968.89</v>
      </c>
      <c r="E70" s="803"/>
      <c r="F70" s="803"/>
      <c r="G70" s="803">
        <f t="shared" si="26"/>
        <v>-1665493</v>
      </c>
      <c r="H70" s="803"/>
      <c r="I70" s="803">
        <f t="shared" si="27"/>
        <v>-1837278.03</v>
      </c>
      <c r="J70" s="803">
        <f t="shared" si="28"/>
        <v>170193.03</v>
      </c>
      <c r="K70" s="803">
        <f t="shared" si="29"/>
        <v>1592.1149999999907</v>
      </c>
      <c r="L70" s="803"/>
      <c r="M70" s="648">
        <v>-1699672.8</v>
      </c>
      <c r="N70" s="648">
        <v>340386.06</v>
      </c>
      <c r="O70" s="648">
        <v>263269.86</v>
      </c>
      <c r="P70" s="803"/>
      <c r="Q70" s="648">
        <v>-1974883.26</v>
      </c>
      <c r="R70" s="648"/>
      <c r="S70" s="648">
        <v>-260085.63</v>
      </c>
    </row>
    <row r="71" spans="1:19">
      <c r="A71" s="821">
        <f t="shared" si="30"/>
        <v>9.1099999999999977</v>
      </c>
      <c r="B71" s="648" t="s">
        <v>1247</v>
      </c>
      <c r="C71" s="648">
        <f t="shared" si="24"/>
        <v>128029.23000000001</v>
      </c>
      <c r="D71" s="648">
        <f t="shared" si="25"/>
        <v>62657.070000000007</v>
      </c>
      <c r="E71" s="803"/>
      <c r="F71" s="803"/>
      <c r="G71" s="803">
        <f t="shared" si="26"/>
        <v>95343</v>
      </c>
      <c r="H71" s="803"/>
      <c r="I71" s="803">
        <f t="shared" si="27"/>
        <v>36624.105000000003</v>
      </c>
      <c r="J71" s="803">
        <f t="shared" si="28"/>
        <v>58719.044999999998</v>
      </c>
      <c r="K71" s="803">
        <f t="shared" si="29"/>
        <v>0</v>
      </c>
      <c r="L71" s="803"/>
      <c r="M71" s="648">
        <v>62971.020000000004</v>
      </c>
      <c r="N71" s="648">
        <v>65058.21</v>
      </c>
      <c r="O71" s="648"/>
      <c r="P71" s="803"/>
      <c r="Q71" s="648">
        <v>10277.19</v>
      </c>
      <c r="R71" s="648">
        <v>52379.880000000005</v>
      </c>
      <c r="S71" s="648"/>
    </row>
    <row r="72" spans="1:19">
      <c r="A72" s="821">
        <f t="shared" si="30"/>
        <v>9.1199999999999974</v>
      </c>
      <c r="B72" s="648" t="s">
        <v>1248</v>
      </c>
      <c r="C72" s="648">
        <f t="shared" si="24"/>
        <v>915809.16</v>
      </c>
      <c r="D72" s="648">
        <f t="shared" si="25"/>
        <v>1870097.88</v>
      </c>
      <c r="E72" s="803"/>
      <c r="F72" s="803"/>
      <c r="G72" s="803">
        <f t="shared" si="26"/>
        <v>1392954</v>
      </c>
      <c r="H72" s="803"/>
      <c r="I72" s="803">
        <f t="shared" si="27"/>
        <v>0</v>
      </c>
      <c r="J72" s="803">
        <f t="shared" si="28"/>
        <v>0</v>
      </c>
      <c r="K72" s="803">
        <f t="shared" si="29"/>
        <v>1392953.52</v>
      </c>
      <c r="L72" s="803"/>
      <c r="M72" s="648"/>
      <c r="N72" s="648"/>
      <c r="O72" s="648">
        <v>915809.16</v>
      </c>
      <c r="P72" s="803"/>
      <c r="Q72" s="648"/>
      <c r="R72" s="648"/>
      <c r="S72" s="648">
        <v>1870097.88</v>
      </c>
    </row>
    <row r="73" spans="1:19">
      <c r="A73" s="821">
        <f t="shared" si="30"/>
        <v>9.1299999999999972</v>
      </c>
      <c r="B73" s="648" t="s">
        <v>1249</v>
      </c>
      <c r="C73" s="648">
        <f t="shared" si="24"/>
        <v>-915809.16</v>
      </c>
      <c r="D73" s="648">
        <f t="shared" si="25"/>
        <v>-1870097.88</v>
      </c>
      <c r="E73" s="803"/>
      <c r="F73" s="803"/>
      <c r="G73" s="803">
        <f t="shared" si="26"/>
        <v>-1392954</v>
      </c>
      <c r="H73" s="803"/>
      <c r="I73" s="803">
        <f t="shared" si="27"/>
        <v>0</v>
      </c>
      <c r="J73" s="803">
        <f t="shared" si="28"/>
        <v>0</v>
      </c>
      <c r="K73" s="803">
        <f t="shared" si="29"/>
        <v>-1392953.52</v>
      </c>
      <c r="L73" s="803"/>
      <c r="M73" s="648"/>
      <c r="N73" s="648"/>
      <c r="O73" s="648">
        <v>-915809.16</v>
      </c>
      <c r="P73" s="803"/>
      <c r="Q73" s="648"/>
      <c r="R73" s="648"/>
      <c r="S73" s="648">
        <v>-1870097.88</v>
      </c>
    </row>
    <row r="74" spans="1:19">
      <c r="A74" s="821">
        <f t="shared" si="30"/>
        <v>9.139999999999997</v>
      </c>
      <c r="B74" s="648" t="s">
        <v>1250</v>
      </c>
      <c r="C74" s="648">
        <f t="shared" si="24"/>
        <v>10981820.33</v>
      </c>
      <c r="D74" s="648">
        <f t="shared" si="25"/>
        <v>11494375.51</v>
      </c>
      <c r="E74" s="808"/>
      <c r="F74" s="808"/>
      <c r="G74" s="808">
        <f t="shared" si="26"/>
        <v>11238098</v>
      </c>
      <c r="H74" s="808"/>
      <c r="I74" s="808">
        <f t="shared" si="27"/>
        <v>11238097.92</v>
      </c>
      <c r="J74" s="808">
        <f t="shared" si="28"/>
        <v>0</v>
      </c>
      <c r="K74" s="808">
        <f t="shared" si="29"/>
        <v>0</v>
      </c>
      <c r="L74" s="808"/>
      <c r="M74" s="648">
        <v>10981820.33</v>
      </c>
      <c r="N74" s="648"/>
      <c r="O74" s="648"/>
      <c r="P74" s="808"/>
      <c r="Q74" s="648">
        <v>11494375.51</v>
      </c>
      <c r="R74" s="648"/>
      <c r="S74" s="648"/>
    </row>
    <row r="75" spans="1:19">
      <c r="A75" s="821">
        <f t="shared" si="30"/>
        <v>9.1499999999999968</v>
      </c>
      <c r="B75" s="648" t="s">
        <v>1251</v>
      </c>
      <c r="C75" s="648">
        <f t="shared" si="24"/>
        <v>55944.63</v>
      </c>
      <c r="D75" s="648">
        <f t="shared" si="25"/>
        <v>48877.760000000002</v>
      </c>
      <c r="E75" s="803"/>
      <c r="F75" s="803"/>
      <c r="G75" s="803">
        <f t="shared" si="26"/>
        <v>52411</v>
      </c>
      <c r="H75" s="803"/>
      <c r="I75" s="803">
        <f t="shared" si="27"/>
        <v>-0.08</v>
      </c>
      <c r="J75" s="803">
        <f t="shared" si="28"/>
        <v>8.5000000000000006E-2</v>
      </c>
      <c r="K75" s="803">
        <f t="shared" si="29"/>
        <v>52411.19</v>
      </c>
      <c r="L75" s="803"/>
      <c r="M75" s="648">
        <v>-0.08</v>
      </c>
      <c r="N75" s="648">
        <v>0.17</v>
      </c>
      <c r="O75" s="648">
        <v>55944.54</v>
      </c>
      <c r="P75" s="803"/>
      <c r="Q75" s="648">
        <v>-0.08</v>
      </c>
      <c r="R75" s="648"/>
      <c r="S75" s="648">
        <v>48877.840000000004</v>
      </c>
    </row>
    <row r="76" spans="1:19">
      <c r="A76" s="821">
        <f t="shared" si="30"/>
        <v>9.1599999999999966</v>
      </c>
      <c r="B76" s="648" t="s">
        <v>1252</v>
      </c>
      <c r="C76" s="648">
        <f t="shared" si="24"/>
        <v>-3.0000000000000047E-2</v>
      </c>
      <c r="D76" s="648">
        <f t="shared" si="25"/>
        <v>0.38</v>
      </c>
      <c r="E76" s="803"/>
      <c r="F76" s="803"/>
      <c r="G76" s="803">
        <f t="shared" si="26"/>
        <v>0</v>
      </c>
      <c r="H76" s="803"/>
      <c r="I76" s="803">
        <f t="shared" si="27"/>
        <v>0.42</v>
      </c>
      <c r="J76" s="803">
        <f t="shared" si="28"/>
        <v>-0.20500000000000002</v>
      </c>
      <c r="K76" s="803">
        <f t="shared" si="29"/>
        <v>-0.04</v>
      </c>
      <c r="L76" s="803"/>
      <c r="M76" s="648">
        <v>0.42</v>
      </c>
      <c r="N76" s="648">
        <v>-0.41000000000000003</v>
      </c>
      <c r="O76" s="648">
        <v>-0.04</v>
      </c>
      <c r="P76" s="803"/>
      <c r="Q76" s="648">
        <v>0.42</v>
      </c>
      <c r="R76" s="648"/>
      <c r="S76" s="648">
        <v>-0.04</v>
      </c>
    </row>
    <row r="77" spans="1:19">
      <c r="A77" s="821">
        <f t="shared" si="30"/>
        <v>9.1699999999999964</v>
      </c>
      <c r="B77" s="648" t="s">
        <v>1253</v>
      </c>
      <c r="C77" s="648">
        <f t="shared" si="24"/>
        <v>510503.44</v>
      </c>
      <c r="D77" s="648">
        <f t="shared" si="25"/>
        <v>584653.56999999995</v>
      </c>
      <c r="E77" s="803"/>
      <c r="F77" s="803"/>
      <c r="G77" s="803">
        <f t="shared" si="26"/>
        <v>547579</v>
      </c>
      <c r="H77" s="803"/>
      <c r="I77" s="803">
        <f t="shared" si="27"/>
        <v>69912.700000000012</v>
      </c>
      <c r="J77" s="803">
        <f t="shared" si="28"/>
        <v>1.4999999999999999E-2</v>
      </c>
      <c r="K77" s="803">
        <f t="shared" si="29"/>
        <v>477665.79</v>
      </c>
      <c r="L77" s="803"/>
      <c r="M77" s="648">
        <v>84893.680000000008</v>
      </c>
      <c r="N77" s="648">
        <v>0.03</v>
      </c>
      <c r="O77" s="648">
        <v>425609.73</v>
      </c>
      <c r="P77" s="803"/>
      <c r="Q77" s="648">
        <v>54931.72</v>
      </c>
      <c r="R77" s="648"/>
      <c r="S77" s="648">
        <v>529721.85</v>
      </c>
    </row>
    <row r="78" spans="1:19">
      <c r="A78" s="821">
        <f t="shared" si="30"/>
        <v>9.1799999999999962</v>
      </c>
      <c r="B78" s="648" t="s">
        <v>1254</v>
      </c>
      <c r="C78" s="648">
        <f t="shared" si="24"/>
        <v>149247.42000000001</v>
      </c>
      <c r="D78" s="648">
        <f t="shared" si="25"/>
        <v>515981.55</v>
      </c>
      <c r="E78" s="803"/>
      <c r="F78" s="803"/>
      <c r="G78" s="803">
        <f t="shared" si="26"/>
        <v>332614</v>
      </c>
      <c r="H78" s="803"/>
      <c r="I78" s="803">
        <f t="shared" si="27"/>
        <v>332614.48499999999</v>
      </c>
      <c r="J78" s="803">
        <f t="shared" si="28"/>
        <v>0</v>
      </c>
      <c r="K78" s="803">
        <f t="shared" si="29"/>
        <v>0</v>
      </c>
      <c r="L78" s="803"/>
      <c r="M78" s="648">
        <v>149247.42000000001</v>
      </c>
      <c r="N78" s="648"/>
      <c r="O78" s="648"/>
      <c r="P78" s="803"/>
      <c r="Q78" s="648">
        <v>515981.55</v>
      </c>
      <c r="R78" s="648"/>
      <c r="S78" s="648"/>
    </row>
    <row r="79" spans="1:19">
      <c r="A79" s="821">
        <f t="shared" si="30"/>
        <v>9.1899999999999959</v>
      </c>
      <c r="B79" s="648" t="s">
        <v>1255</v>
      </c>
      <c r="C79" s="648">
        <f t="shared" si="24"/>
        <v>0</v>
      </c>
      <c r="D79" s="648">
        <f t="shared" si="25"/>
        <v>0</v>
      </c>
      <c r="E79" s="803"/>
      <c r="F79" s="803"/>
      <c r="G79" s="803">
        <f t="shared" si="26"/>
        <v>0</v>
      </c>
      <c r="H79" s="803"/>
      <c r="I79" s="803">
        <f t="shared" si="27"/>
        <v>0</v>
      </c>
      <c r="J79" s="803">
        <f t="shared" si="28"/>
        <v>0</v>
      </c>
      <c r="K79" s="803">
        <f t="shared" si="29"/>
        <v>0</v>
      </c>
      <c r="L79" s="803"/>
      <c r="M79" s="648">
        <v>0</v>
      </c>
      <c r="N79" s="648"/>
      <c r="O79" s="648">
        <v>0</v>
      </c>
      <c r="P79" s="803"/>
      <c r="Q79" s="648"/>
      <c r="R79" s="648"/>
      <c r="S79" s="648"/>
    </row>
    <row r="80" spans="1:19">
      <c r="A80" s="821">
        <f t="shared" si="30"/>
        <v>9.1999999999999957</v>
      </c>
      <c r="B80" s="648" t="s">
        <v>1256</v>
      </c>
      <c r="C80" s="648">
        <f t="shared" si="24"/>
        <v>282.66000000000003</v>
      </c>
      <c r="D80" s="648">
        <f t="shared" si="25"/>
        <v>362.56</v>
      </c>
      <c r="E80" s="803"/>
      <c r="F80" s="803"/>
      <c r="G80" s="803">
        <f t="shared" si="26"/>
        <v>323</v>
      </c>
      <c r="H80" s="803"/>
      <c r="I80" s="803">
        <f t="shared" si="27"/>
        <v>322.61</v>
      </c>
      <c r="J80" s="803">
        <f t="shared" si="28"/>
        <v>0</v>
      </c>
      <c r="K80" s="803">
        <f t="shared" si="29"/>
        <v>0</v>
      </c>
      <c r="L80" s="803"/>
      <c r="M80" s="648">
        <v>282.66000000000003</v>
      </c>
      <c r="N80" s="648"/>
      <c r="O80" s="648">
        <v>0</v>
      </c>
      <c r="P80" s="803"/>
      <c r="Q80" s="648">
        <v>362.56</v>
      </c>
      <c r="R80" s="648"/>
      <c r="S80" s="648"/>
    </row>
    <row r="81" spans="1:19">
      <c r="A81" s="821">
        <f t="shared" si="30"/>
        <v>9.2099999999999955</v>
      </c>
      <c r="B81" s="648" t="s">
        <v>1376</v>
      </c>
      <c r="C81" s="648">
        <f t="shared" ref="C81" si="31">SUM(M81:O81)</f>
        <v>0</v>
      </c>
      <c r="D81" s="648">
        <f t="shared" ref="D81" si="32">SUM(Q81:S81)</f>
        <v>-1078800.83</v>
      </c>
      <c r="E81" s="803"/>
      <c r="F81" s="803"/>
      <c r="G81" s="803">
        <f t="shared" ref="G81" si="33">ROUND(SUM(C81:F81)/2,0)</f>
        <v>-539400</v>
      </c>
      <c r="H81" s="803"/>
      <c r="I81" s="803">
        <f t="shared" ref="I81" si="34">(M81+Q81)/2</f>
        <v>-539400.41500000004</v>
      </c>
      <c r="J81" s="803">
        <f t="shared" ref="J81" si="35">(N81+R81)/2</f>
        <v>0</v>
      </c>
      <c r="K81" s="803">
        <f t="shared" ref="K81" si="36">(O81+S81)/2</f>
        <v>0</v>
      </c>
      <c r="L81" s="803"/>
      <c r="M81" s="648"/>
      <c r="N81" s="648"/>
      <c r="O81" s="648"/>
      <c r="P81" s="803"/>
      <c r="Q81" s="648">
        <v>-1078800.83</v>
      </c>
      <c r="R81" s="648"/>
      <c r="S81" s="648"/>
    </row>
    <row r="82" spans="1:19">
      <c r="A82" s="821">
        <f t="shared" si="30"/>
        <v>9.2199999999999953</v>
      </c>
      <c r="B82" s="648" t="s">
        <v>1257</v>
      </c>
      <c r="C82" s="648">
        <f t="shared" si="24"/>
        <v>-5801600.3900000006</v>
      </c>
      <c r="D82" s="648">
        <f t="shared" si="25"/>
        <v>-3545734.4</v>
      </c>
      <c r="E82" s="803"/>
      <c r="F82" s="803"/>
      <c r="G82" s="803">
        <f t="shared" si="26"/>
        <v>-4673667</v>
      </c>
      <c r="H82" s="803"/>
      <c r="I82" s="803">
        <f t="shared" si="27"/>
        <v>-883578.05</v>
      </c>
      <c r="J82" s="803">
        <f t="shared" si="28"/>
        <v>-424900.45500000002</v>
      </c>
      <c r="K82" s="803">
        <f t="shared" si="29"/>
        <v>-3365188.8899999997</v>
      </c>
      <c r="L82" s="803"/>
      <c r="M82" s="648">
        <v>-1873381.76</v>
      </c>
      <c r="N82" s="648">
        <v>-419136.69</v>
      </c>
      <c r="O82" s="648">
        <v>-3509081.94</v>
      </c>
      <c r="P82" s="803"/>
      <c r="Q82" s="648">
        <v>106225.66</v>
      </c>
      <c r="R82" s="648">
        <v>-430664.22000000003</v>
      </c>
      <c r="S82" s="648">
        <v>-3221295.84</v>
      </c>
    </row>
    <row r="83" spans="1:19">
      <c r="A83" s="821">
        <f t="shared" si="30"/>
        <v>9.2299999999999951</v>
      </c>
      <c r="B83" s="648" t="s">
        <v>1258</v>
      </c>
      <c r="C83" s="648">
        <f t="shared" si="24"/>
        <v>66872.12</v>
      </c>
      <c r="D83" s="648">
        <f t="shared" si="25"/>
        <v>13870673.390000001</v>
      </c>
      <c r="E83" s="803"/>
      <c r="F83" s="803"/>
      <c r="G83" s="803">
        <f t="shared" si="26"/>
        <v>6968773</v>
      </c>
      <c r="H83" s="803"/>
      <c r="I83" s="803">
        <f t="shared" si="27"/>
        <v>0</v>
      </c>
      <c r="J83" s="803">
        <f t="shared" si="28"/>
        <v>0</v>
      </c>
      <c r="K83" s="803">
        <f t="shared" si="29"/>
        <v>6968772.7549999999</v>
      </c>
      <c r="L83" s="803"/>
      <c r="M83" s="648"/>
      <c r="N83" s="648"/>
      <c r="O83" s="648">
        <v>66872.12</v>
      </c>
      <c r="P83" s="803"/>
      <c r="Q83" s="648"/>
      <c r="R83" s="648"/>
      <c r="S83" s="648">
        <v>13870673.390000001</v>
      </c>
    </row>
    <row r="84" spans="1:19">
      <c r="A84" s="821">
        <f t="shared" si="30"/>
        <v>9.2399999999999949</v>
      </c>
      <c r="B84" s="648" t="s">
        <v>1259</v>
      </c>
      <c r="C84" s="648">
        <f t="shared" si="24"/>
        <v>-61826.450000000004</v>
      </c>
      <c r="D84" s="648">
        <f t="shared" si="25"/>
        <v>-13870673.390000001</v>
      </c>
      <c r="E84" s="803"/>
      <c r="F84" s="803"/>
      <c r="G84" s="803">
        <f t="shared" si="26"/>
        <v>-6966250</v>
      </c>
      <c r="H84" s="803"/>
      <c r="I84" s="803">
        <f t="shared" si="27"/>
        <v>0</v>
      </c>
      <c r="J84" s="803">
        <f t="shared" si="28"/>
        <v>0</v>
      </c>
      <c r="K84" s="803">
        <f t="shared" si="29"/>
        <v>-6966249.9199999999</v>
      </c>
      <c r="L84" s="803"/>
      <c r="M84" s="648"/>
      <c r="N84" s="648"/>
      <c r="O84" s="648">
        <v>-61826.450000000004</v>
      </c>
      <c r="P84" s="803"/>
      <c r="Q84" s="648"/>
      <c r="R84" s="648"/>
      <c r="S84" s="648">
        <v>-13870673.390000001</v>
      </c>
    </row>
    <row r="85" spans="1:19">
      <c r="A85" s="821">
        <f t="shared" si="30"/>
        <v>9.2499999999999947</v>
      </c>
      <c r="B85" s="648" t="s">
        <v>1260</v>
      </c>
      <c r="C85" s="648">
        <f t="shared" si="24"/>
        <v>-81532.92</v>
      </c>
      <c r="D85" s="648">
        <f t="shared" si="25"/>
        <v>-86823.290000000008</v>
      </c>
      <c r="E85" s="803"/>
      <c r="F85" s="803"/>
      <c r="G85" s="803">
        <f t="shared" si="26"/>
        <v>-84178</v>
      </c>
      <c r="H85" s="803"/>
      <c r="I85" s="803">
        <f t="shared" si="27"/>
        <v>-45907.100000000006</v>
      </c>
      <c r="J85" s="803">
        <f t="shared" si="28"/>
        <v>-15651.510000000002</v>
      </c>
      <c r="K85" s="803">
        <f t="shared" si="29"/>
        <v>-22619.495000000003</v>
      </c>
      <c r="L85" s="803"/>
      <c r="M85" s="648">
        <v>-44956.160000000003</v>
      </c>
      <c r="N85" s="648">
        <v>-14819.28</v>
      </c>
      <c r="O85" s="648">
        <v>-21757.48</v>
      </c>
      <c r="P85" s="803"/>
      <c r="Q85" s="648">
        <v>-46858.04</v>
      </c>
      <c r="R85" s="648">
        <v>-16483.740000000002</v>
      </c>
      <c r="S85" s="648">
        <v>-23481.510000000002</v>
      </c>
    </row>
    <row r="86" spans="1:19">
      <c r="A86" s="821">
        <f t="shared" si="30"/>
        <v>9.2599999999999945</v>
      </c>
      <c r="B86" s="648" t="s">
        <v>1261</v>
      </c>
      <c r="C86" s="648">
        <f t="shared" si="24"/>
        <v>172032.62</v>
      </c>
      <c r="D86" s="648">
        <f t="shared" si="25"/>
        <v>189308.71</v>
      </c>
      <c r="E86" s="803"/>
      <c r="F86" s="803"/>
      <c r="G86" s="803">
        <f t="shared" si="26"/>
        <v>180671</v>
      </c>
      <c r="H86" s="803"/>
      <c r="I86" s="803">
        <f t="shared" si="27"/>
        <v>98289.64499999999</v>
      </c>
      <c r="J86" s="803">
        <f t="shared" si="28"/>
        <v>33698.380000000005</v>
      </c>
      <c r="K86" s="803">
        <f t="shared" si="29"/>
        <v>48682.64</v>
      </c>
      <c r="L86" s="803"/>
      <c r="M86" s="648">
        <v>94681.81</v>
      </c>
      <c r="N86" s="648">
        <v>31347.690000000002</v>
      </c>
      <c r="O86" s="648">
        <v>46003.12</v>
      </c>
      <c r="P86" s="803"/>
      <c r="Q86" s="648">
        <v>101897.48</v>
      </c>
      <c r="R86" s="648">
        <v>36049.07</v>
      </c>
      <c r="S86" s="648">
        <v>51362.16</v>
      </c>
    </row>
    <row r="87" spans="1:19">
      <c r="A87" s="821">
        <f t="shared" si="30"/>
        <v>9.2699999999999942</v>
      </c>
      <c r="B87" s="648" t="s">
        <v>1262</v>
      </c>
      <c r="C87" s="648">
        <f t="shared" si="24"/>
        <v>582569.18000000005</v>
      </c>
      <c r="D87" s="648">
        <f t="shared" si="25"/>
        <v>665878.31999999995</v>
      </c>
      <c r="E87" s="803"/>
      <c r="F87" s="803"/>
      <c r="G87" s="803">
        <f t="shared" si="26"/>
        <v>624224</v>
      </c>
      <c r="H87" s="803"/>
      <c r="I87" s="803">
        <f t="shared" si="27"/>
        <v>340716.88</v>
      </c>
      <c r="J87" s="803">
        <f t="shared" si="28"/>
        <v>115649.52</v>
      </c>
      <c r="K87" s="803">
        <f t="shared" si="29"/>
        <v>167857.35</v>
      </c>
      <c r="L87" s="803"/>
      <c r="M87" s="648">
        <v>321002.76</v>
      </c>
      <c r="N87" s="648">
        <v>106812.44</v>
      </c>
      <c r="O87" s="648">
        <v>154753.98000000001</v>
      </c>
      <c r="P87" s="803"/>
      <c r="Q87" s="648">
        <v>360431</v>
      </c>
      <c r="R87" s="648">
        <v>124486.6</v>
      </c>
      <c r="S87" s="648">
        <v>180960.72</v>
      </c>
    </row>
    <row r="88" spans="1:19">
      <c r="A88" s="821">
        <f t="shared" si="30"/>
        <v>9.279999999999994</v>
      </c>
      <c r="B88" s="648" t="s">
        <v>1263</v>
      </c>
      <c r="C88" s="648">
        <f t="shared" si="24"/>
        <v>2207067.2399999998</v>
      </c>
      <c r="D88" s="648">
        <f t="shared" si="25"/>
        <v>0</v>
      </c>
      <c r="E88" s="803"/>
      <c r="F88" s="803"/>
      <c r="G88" s="803">
        <f t="shared" si="26"/>
        <v>1103534</v>
      </c>
      <c r="H88" s="803"/>
      <c r="I88" s="803">
        <f t="shared" si="27"/>
        <v>0</v>
      </c>
      <c r="J88" s="803">
        <f t="shared" si="28"/>
        <v>29320.514999999999</v>
      </c>
      <c r="K88" s="803">
        <f t="shared" si="29"/>
        <v>1074213.105</v>
      </c>
      <c r="L88" s="803"/>
      <c r="M88" s="648"/>
      <c r="N88" s="648">
        <v>58641.03</v>
      </c>
      <c r="O88" s="648">
        <v>2148426.21</v>
      </c>
      <c r="P88" s="803"/>
      <c r="Q88" s="648"/>
      <c r="R88" s="648"/>
      <c r="S88" s="648">
        <v>0</v>
      </c>
    </row>
    <row r="89" spans="1:19">
      <c r="A89" s="821">
        <f t="shared" si="30"/>
        <v>9.2899999999999938</v>
      </c>
      <c r="B89" s="648" t="s">
        <v>1264</v>
      </c>
      <c r="C89" s="648">
        <f t="shared" si="24"/>
        <v>9659160.6099999994</v>
      </c>
      <c r="D89" s="648">
        <f t="shared" si="25"/>
        <v>0</v>
      </c>
      <c r="E89" s="803"/>
      <c r="F89" s="803"/>
      <c r="G89" s="803">
        <f t="shared" si="26"/>
        <v>4829580</v>
      </c>
      <c r="H89" s="803"/>
      <c r="I89" s="803">
        <f t="shared" si="27"/>
        <v>0</v>
      </c>
      <c r="J89" s="803">
        <f t="shared" si="28"/>
        <v>276999.23</v>
      </c>
      <c r="K89" s="803">
        <f t="shared" si="29"/>
        <v>4552581.0750000002</v>
      </c>
      <c r="L89" s="803"/>
      <c r="M89" s="648"/>
      <c r="N89" s="648">
        <v>553998.46</v>
      </c>
      <c r="O89" s="648">
        <v>9105162.1500000004</v>
      </c>
      <c r="P89" s="803"/>
      <c r="Q89" s="648"/>
      <c r="R89" s="648"/>
      <c r="S89" s="648">
        <v>0</v>
      </c>
    </row>
    <row r="90" spans="1:19">
      <c r="A90" s="821">
        <f t="shared" si="30"/>
        <v>9.2999999999999936</v>
      </c>
      <c r="B90" s="648" t="s">
        <v>1265</v>
      </c>
      <c r="C90" s="648">
        <f t="shared" si="24"/>
        <v>2906039.53</v>
      </c>
      <c r="D90" s="648">
        <f t="shared" si="25"/>
        <v>0</v>
      </c>
      <c r="E90" s="803"/>
      <c r="F90" s="803"/>
      <c r="G90" s="803">
        <f t="shared" si="26"/>
        <v>1453020</v>
      </c>
      <c r="H90" s="803"/>
      <c r="I90" s="803">
        <f t="shared" si="27"/>
        <v>0</v>
      </c>
      <c r="J90" s="803">
        <f t="shared" si="28"/>
        <v>59228.294999999998</v>
      </c>
      <c r="K90" s="803">
        <f t="shared" si="29"/>
        <v>1393791.47</v>
      </c>
      <c r="L90" s="803"/>
      <c r="M90" s="648"/>
      <c r="N90" s="648">
        <v>118456.59</v>
      </c>
      <c r="O90" s="648">
        <v>2787582.94</v>
      </c>
      <c r="P90" s="803"/>
      <c r="Q90" s="648"/>
      <c r="R90" s="648"/>
      <c r="S90" s="648">
        <v>0</v>
      </c>
    </row>
    <row r="91" spans="1:19">
      <c r="A91" s="821">
        <f t="shared" si="30"/>
        <v>9.3099999999999934</v>
      </c>
      <c r="B91" s="648" t="s">
        <v>1266</v>
      </c>
      <c r="C91" s="648">
        <f t="shared" si="24"/>
        <v>1767168.71</v>
      </c>
      <c r="D91" s="648">
        <f t="shared" si="25"/>
        <v>-0.22</v>
      </c>
      <c r="E91" s="803"/>
      <c r="F91" s="803"/>
      <c r="G91" s="803">
        <f t="shared" si="26"/>
        <v>883584</v>
      </c>
      <c r="H91" s="803"/>
      <c r="I91" s="803">
        <f t="shared" si="27"/>
        <v>0</v>
      </c>
      <c r="J91" s="803">
        <f t="shared" si="28"/>
        <v>2993.665</v>
      </c>
      <c r="K91" s="803">
        <f t="shared" si="29"/>
        <v>880590.58</v>
      </c>
      <c r="L91" s="803"/>
      <c r="M91" s="648"/>
      <c r="N91" s="648">
        <v>5987.54</v>
      </c>
      <c r="O91" s="648">
        <v>1761181.17</v>
      </c>
      <c r="P91" s="803"/>
      <c r="Q91" s="648"/>
      <c r="R91" s="648">
        <v>-0.21</v>
      </c>
      <c r="S91" s="648">
        <v>-0.01</v>
      </c>
    </row>
    <row r="92" spans="1:19">
      <c r="A92" s="821">
        <f t="shared" si="30"/>
        <v>9.3199999999999932</v>
      </c>
      <c r="B92" s="648" t="s">
        <v>1267</v>
      </c>
      <c r="C92" s="648">
        <f t="shared" si="24"/>
        <v>476095.74</v>
      </c>
      <c r="D92" s="648">
        <f t="shared" si="25"/>
        <v>5833972.8899999997</v>
      </c>
      <c r="E92" s="803"/>
      <c r="F92" s="803"/>
      <c r="G92" s="803">
        <f t="shared" si="26"/>
        <v>3155034</v>
      </c>
      <c r="H92" s="803"/>
      <c r="I92" s="803">
        <f t="shared" si="27"/>
        <v>0</v>
      </c>
      <c r="J92" s="803">
        <f t="shared" si="28"/>
        <v>0</v>
      </c>
      <c r="K92" s="803">
        <f t="shared" si="29"/>
        <v>3155034.3149999999</v>
      </c>
      <c r="L92" s="803"/>
      <c r="M92" s="648"/>
      <c r="N92" s="648"/>
      <c r="O92" s="648">
        <v>476095.74</v>
      </c>
      <c r="P92" s="803"/>
      <c r="Q92" s="648"/>
      <c r="R92" s="648"/>
      <c r="S92" s="648">
        <v>5833972.8899999997</v>
      </c>
    </row>
    <row r="93" spans="1:19">
      <c r="A93" s="821">
        <f t="shared" si="30"/>
        <v>9.329999999999993</v>
      </c>
      <c r="B93" s="648" t="s">
        <v>1268</v>
      </c>
      <c r="C93" s="648">
        <f t="shared" si="24"/>
        <v>2264523.77</v>
      </c>
      <c r="D93" s="648">
        <f t="shared" si="25"/>
        <v>2105444.7799999998</v>
      </c>
      <c r="E93" s="803"/>
      <c r="F93" s="803"/>
      <c r="G93" s="803">
        <f t="shared" si="26"/>
        <v>2184984</v>
      </c>
      <c r="H93" s="803"/>
      <c r="I93" s="803">
        <f t="shared" si="27"/>
        <v>0</v>
      </c>
      <c r="J93" s="803">
        <f t="shared" si="28"/>
        <v>59173.380000000005</v>
      </c>
      <c r="K93" s="803">
        <f t="shared" si="29"/>
        <v>2125810.895</v>
      </c>
      <c r="L93" s="803"/>
      <c r="M93" s="648"/>
      <c r="N93" s="648">
        <v>55063.89</v>
      </c>
      <c r="O93" s="648">
        <v>2209459.88</v>
      </c>
      <c r="P93" s="803"/>
      <c r="Q93" s="648"/>
      <c r="R93" s="648">
        <v>63282.87</v>
      </c>
      <c r="S93" s="648">
        <v>2042161.91</v>
      </c>
    </row>
    <row r="94" spans="1:19">
      <c r="A94" s="821">
        <f t="shared" si="30"/>
        <v>9.3399999999999928</v>
      </c>
      <c r="B94" s="648" t="s">
        <v>1373</v>
      </c>
      <c r="C94" s="648">
        <f t="shared" ref="C94:C96" si="37">SUM(M94:O94)</f>
        <v>0</v>
      </c>
      <c r="D94" s="648">
        <f t="shared" ref="D94:D96" si="38">SUM(Q94:S94)</f>
        <v>2443843.27</v>
      </c>
      <c r="E94" s="803"/>
      <c r="F94" s="803"/>
      <c r="G94" s="803">
        <f t="shared" ref="G94:G96" si="39">ROUND(SUM(C94:F94)/2,0)</f>
        <v>1221922</v>
      </c>
      <c r="H94" s="803"/>
      <c r="I94" s="803">
        <f t="shared" ref="I94:I96" si="40">(M94+Q94)/2</f>
        <v>0</v>
      </c>
      <c r="J94" s="803">
        <f t="shared" ref="J94:J96" si="41">(N94+R94)/2</f>
        <v>4532.9549999999999</v>
      </c>
      <c r="K94" s="803">
        <f t="shared" ref="K94:K96" si="42">(O94+S94)/2</f>
        <v>1217388.68</v>
      </c>
      <c r="L94" s="803"/>
      <c r="M94" s="648"/>
      <c r="N94" s="648"/>
      <c r="O94" s="648"/>
      <c r="P94" s="803"/>
      <c r="Q94" s="648"/>
      <c r="R94" s="648">
        <v>9065.91</v>
      </c>
      <c r="S94" s="648">
        <v>2434777.36</v>
      </c>
    </row>
    <row r="95" spans="1:19">
      <c r="A95" s="821">
        <f t="shared" si="30"/>
        <v>9.3499999999999925</v>
      </c>
      <c r="B95" s="648" t="s">
        <v>1374</v>
      </c>
      <c r="C95" s="648">
        <f t="shared" si="37"/>
        <v>0</v>
      </c>
      <c r="D95" s="648">
        <f t="shared" si="38"/>
        <v>223648.11</v>
      </c>
      <c r="E95" s="803"/>
      <c r="F95" s="803"/>
      <c r="G95" s="803">
        <f t="shared" si="39"/>
        <v>111824</v>
      </c>
      <c r="H95" s="803"/>
      <c r="I95" s="803">
        <f t="shared" si="40"/>
        <v>13481.51</v>
      </c>
      <c r="J95" s="803">
        <f t="shared" si="41"/>
        <v>2837.03</v>
      </c>
      <c r="K95" s="803">
        <f t="shared" si="42"/>
        <v>95505.514999999999</v>
      </c>
      <c r="L95" s="803"/>
      <c r="M95" s="648"/>
      <c r="N95" s="648"/>
      <c r="O95" s="648"/>
      <c r="P95" s="803"/>
      <c r="Q95" s="648">
        <v>26963.02</v>
      </c>
      <c r="R95" s="648">
        <v>5674.06</v>
      </c>
      <c r="S95" s="648">
        <v>191011.03</v>
      </c>
    </row>
    <row r="96" spans="1:19">
      <c r="A96" s="821">
        <f t="shared" si="30"/>
        <v>9.3599999999999923</v>
      </c>
      <c r="B96" s="648" t="s">
        <v>1375</v>
      </c>
      <c r="C96" s="648">
        <f t="shared" si="37"/>
        <v>0</v>
      </c>
      <c r="D96" s="648">
        <f t="shared" si="38"/>
        <v>7913.07</v>
      </c>
      <c r="E96" s="803"/>
      <c r="F96" s="803"/>
      <c r="G96" s="803">
        <f t="shared" si="39"/>
        <v>3957</v>
      </c>
      <c r="H96" s="803"/>
      <c r="I96" s="803">
        <f t="shared" si="40"/>
        <v>747.92</v>
      </c>
      <c r="J96" s="803">
        <f t="shared" si="41"/>
        <v>105.485</v>
      </c>
      <c r="K96" s="803">
        <f t="shared" si="42"/>
        <v>3103.13</v>
      </c>
      <c r="L96" s="803"/>
      <c r="M96" s="648"/>
      <c r="N96" s="648"/>
      <c r="O96" s="648"/>
      <c r="P96" s="803"/>
      <c r="Q96" s="648">
        <v>1495.84</v>
      </c>
      <c r="R96" s="648">
        <v>210.97</v>
      </c>
      <c r="S96" s="648">
        <v>6206.26</v>
      </c>
    </row>
    <row r="97" spans="1:19">
      <c r="A97" s="821">
        <f t="shared" si="30"/>
        <v>9.3699999999999921</v>
      </c>
      <c r="B97" s="648" t="s">
        <v>1377</v>
      </c>
      <c r="C97" s="648">
        <f t="shared" ref="C97" si="43">SUM(M97:O97)</f>
        <v>0</v>
      </c>
      <c r="D97" s="648">
        <f t="shared" ref="D97" si="44">SUM(Q97:S97)</f>
        <v>2908879.24</v>
      </c>
      <c r="E97" s="803"/>
      <c r="F97" s="803"/>
      <c r="G97" s="803">
        <f t="shared" ref="G97" si="45">ROUND(SUM(C97:F97)/2,0)</f>
        <v>1454440</v>
      </c>
      <c r="H97" s="803"/>
      <c r="I97" s="803">
        <f t="shared" ref="I97" si="46">(M97+Q97)/2</f>
        <v>1454439.62</v>
      </c>
      <c r="J97" s="803">
        <f t="shared" ref="J97" si="47">(N97+R97)/2</f>
        <v>0</v>
      </c>
      <c r="K97" s="803">
        <f t="shared" ref="K97" si="48">(O97+S97)/2</f>
        <v>0</v>
      </c>
      <c r="L97" s="803"/>
      <c r="M97" s="648"/>
      <c r="N97" s="648"/>
      <c r="O97" s="648"/>
      <c r="P97" s="803"/>
      <c r="Q97" s="648">
        <v>2908879.24</v>
      </c>
      <c r="R97" s="648"/>
      <c r="S97" s="648"/>
    </row>
    <row r="98" spans="1:19">
      <c r="A98" s="821">
        <f t="shared" si="30"/>
        <v>9.3799999999999919</v>
      </c>
      <c r="B98" s="648" t="s">
        <v>1269</v>
      </c>
      <c r="C98" s="648">
        <f t="shared" si="24"/>
        <v>0</v>
      </c>
      <c r="D98" s="648">
        <f t="shared" si="25"/>
        <v>0</v>
      </c>
      <c r="E98" s="803"/>
      <c r="F98" s="803"/>
      <c r="G98" s="803">
        <f t="shared" si="26"/>
        <v>0</v>
      </c>
      <c r="H98" s="803"/>
      <c r="I98" s="803">
        <f t="shared" si="27"/>
        <v>0</v>
      </c>
      <c r="J98" s="803">
        <f t="shared" si="28"/>
        <v>0</v>
      </c>
      <c r="K98" s="803">
        <f t="shared" si="29"/>
        <v>0</v>
      </c>
      <c r="L98" s="803"/>
      <c r="M98" s="648">
        <v>0</v>
      </c>
      <c r="N98" s="648"/>
      <c r="O98" s="648"/>
      <c r="P98" s="803"/>
      <c r="Q98" s="648"/>
      <c r="R98" s="648"/>
      <c r="S98" s="648"/>
    </row>
    <row r="99" spans="1:19">
      <c r="A99" s="821">
        <f t="shared" si="30"/>
        <v>9.3899999999999917</v>
      </c>
      <c r="B99" s="648" t="s">
        <v>1270</v>
      </c>
      <c r="C99" s="648">
        <f t="shared" si="24"/>
        <v>1813260.76</v>
      </c>
      <c r="D99" s="648">
        <f t="shared" si="25"/>
        <v>1813260.76</v>
      </c>
      <c r="E99" s="803"/>
      <c r="F99" s="803"/>
      <c r="G99" s="803">
        <f t="shared" si="26"/>
        <v>1813261</v>
      </c>
      <c r="H99" s="803"/>
      <c r="I99" s="803">
        <f t="shared" si="27"/>
        <v>1813260.76</v>
      </c>
      <c r="J99" s="803">
        <f t="shared" si="28"/>
        <v>0</v>
      </c>
      <c r="K99" s="803">
        <f t="shared" si="29"/>
        <v>0</v>
      </c>
      <c r="L99" s="803"/>
      <c r="M99" s="648">
        <v>1813260.76</v>
      </c>
      <c r="N99" s="648"/>
      <c r="O99" s="648"/>
      <c r="P99" s="803"/>
      <c r="Q99" s="648">
        <v>1813260.76</v>
      </c>
      <c r="R99" s="648"/>
      <c r="S99" s="648"/>
    </row>
    <row r="100" spans="1:19">
      <c r="A100" s="821">
        <f t="shared" si="30"/>
        <v>9.3999999999999915</v>
      </c>
      <c r="B100" s="648" t="s">
        <v>1271</v>
      </c>
      <c r="C100" s="648">
        <f t="shared" si="24"/>
        <v>0.05</v>
      </c>
      <c r="D100" s="648">
        <f t="shared" si="25"/>
        <v>0</v>
      </c>
      <c r="E100" s="803"/>
      <c r="F100" s="803"/>
      <c r="G100" s="803">
        <f t="shared" si="26"/>
        <v>0</v>
      </c>
      <c r="H100" s="803"/>
      <c r="I100" s="803">
        <f t="shared" si="27"/>
        <v>2.5000000000000001E-2</v>
      </c>
      <c r="J100" s="803">
        <f t="shared" si="28"/>
        <v>0</v>
      </c>
      <c r="K100" s="803">
        <f t="shared" si="29"/>
        <v>0</v>
      </c>
      <c r="L100" s="803"/>
      <c r="M100" s="648">
        <v>0.05</v>
      </c>
      <c r="N100" s="648"/>
      <c r="O100" s="648"/>
      <c r="P100" s="803"/>
      <c r="Q100" s="648"/>
      <c r="R100" s="648"/>
      <c r="S100" s="648"/>
    </row>
    <row r="101" spans="1:19">
      <c r="A101" s="821">
        <f t="shared" si="30"/>
        <v>9.4099999999999913</v>
      </c>
      <c r="B101" s="648" t="s">
        <v>1272</v>
      </c>
      <c r="C101" s="648">
        <f t="shared" si="24"/>
        <v>1184235.78</v>
      </c>
      <c r="D101" s="648">
        <f t="shared" si="25"/>
        <v>0</v>
      </c>
      <c r="E101" s="803"/>
      <c r="F101" s="803"/>
      <c r="G101" s="803">
        <f t="shared" si="26"/>
        <v>592118</v>
      </c>
      <c r="H101" s="803"/>
      <c r="I101" s="803">
        <f t="shared" si="27"/>
        <v>592117.89</v>
      </c>
      <c r="J101" s="803">
        <f t="shared" si="28"/>
        <v>0</v>
      </c>
      <c r="K101" s="803">
        <f t="shared" si="29"/>
        <v>0</v>
      </c>
      <c r="L101" s="803"/>
      <c r="M101" s="648">
        <v>1184235.78</v>
      </c>
      <c r="N101" s="648"/>
      <c r="O101" s="648"/>
      <c r="P101" s="803"/>
      <c r="Q101" s="648"/>
      <c r="R101" s="648"/>
      <c r="S101" s="648"/>
    </row>
    <row r="102" spans="1:19">
      <c r="A102" s="821">
        <f t="shared" si="30"/>
        <v>9.419999999999991</v>
      </c>
      <c r="B102" s="648" t="s">
        <v>1273</v>
      </c>
      <c r="C102" s="648">
        <f t="shared" si="24"/>
        <v>392120.71</v>
      </c>
      <c r="D102" s="648">
        <f t="shared" si="25"/>
        <v>-0.16</v>
      </c>
      <c r="E102" s="803"/>
      <c r="F102" s="803"/>
      <c r="G102" s="803">
        <f t="shared" si="26"/>
        <v>196060</v>
      </c>
      <c r="H102" s="803"/>
      <c r="I102" s="803">
        <f t="shared" si="27"/>
        <v>196060.27500000002</v>
      </c>
      <c r="J102" s="803">
        <f t="shared" si="28"/>
        <v>0</v>
      </c>
      <c r="K102" s="803">
        <f t="shared" si="29"/>
        <v>0</v>
      </c>
      <c r="L102" s="803"/>
      <c r="M102" s="648">
        <v>392120.71</v>
      </c>
      <c r="N102" s="648"/>
      <c r="O102" s="648"/>
      <c r="P102" s="803"/>
      <c r="Q102" s="648">
        <v>-0.16</v>
      </c>
      <c r="R102" s="648"/>
      <c r="S102" s="648"/>
    </row>
    <row r="103" spans="1:19">
      <c r="A103" s="821">
        <f t="shared" si="30"/>
        <v>9.4299999999999908</v>
      </c>
      <c r="B103" s="648" t="s">
        <v>1274</v>
      </c>
      <c r="C103" s="648">
        <f t="shared" si="24"/>
        <v>113645.88</v>
      </c>
      <c r="D103" s="648">
        <f t="shared" si="25"/>
        <v>106313.86</v>
      </c>
      <c r="E103" s="803"/>
      <c r="F103" s="803"/>
      <c r="G103" s="803">
        <f t="shared" si="26"/>
        <v>109980</v>
      </c>
      <c r="H103" s="803"/>
      <c r="I103" s="803">
        <f t="shared" si="27"/>
        <v>109979.87</v>
      </c>
      <c r="J103" s="803">
        <f t="shared" si="28"/>
        <v>0</v>
      </c>
      <c r="K103" s="803">
        <f t="shared" si="29"/>
        <v>0</v>
      </c>
      <c r="L103" s="803"/>
      <c r="M103" s="648">
        <v>113645.88</v>
      </c>
      <c r="N103" s="648"/>
      <c r="O103" s="648"/>
      <c r="P103" s="803"/>
      <c r="Q103" s="648">
        <v>106313.86</v>
      </c>
      <c r="R103" s="648"/>
      <c r="S103" s="648"/>
    </row>
    <row r="104" spans="1:19">
      <c r="A104" s="821">
        <f t="shared" si="30"/>
        <v>9.4399999999999906</v>
      </c>
      <c r="B104" s="648" t="s">
        <v>1275</v>
      </c>
      <c r="C104" s="648">
        <f t="shared" si="24"/>
        <v>173329.24</v>
      </c>
      <c r="D104" s="648">
        <f t="shared" si="25"/>
        <v>162146.71</v>
      </c>
      <c r="E104" s="803"/>
      <c r="F104" s="803"/>
      <c r="G104" s="803">
        <f t="shared" si="26"/>
        <v>167738</v>
      </c>
      <c r="H104" s="803"/>
      <c r="I104" s="803">
        <f t="shared" si="27"/>
        <v>167737.97499999998</v>
      </c>
      <c r="J104" s="803">
        <f t="shared" si="28"/>
        <v>0</v>
      </c>
      <c r="K104" s="803">
        <f t="shared" si="29"/>
        <v>0</v>
      </c>
      <c r="L104" s="803"/>
      <c r="M104" s="648">
        <v>173329.24</v>
      </c>
      <c r="N104" s="648"/>
      <c r="O104" s="648"/>
      <c r="P104" s="803"/>
      <c r="Q104" s="648">
        <v>162146.71</v>
      </c>
      <c r="R104" s="648"/>
      <c r="S104" s="648"/>
    </row>
    <row r="105" spans="1:19">
      <c r="A105" s="821">
        <f t="shared" si="30"/>
        <v>9.4499999999999904</v>
      </c>
      <c r="B105" s="648" t="s">
        <v>1276</v>
      </c>
      <c r="C105" s="648">
        <f t="shared" si="24"/>
        <v>0</v>
      </c>
      <c r="D105" s="648">
        <f t="shared" si="25"/>
        <v>0</v>
      </c>
      <c r="E105" s="803"/>
      <c r="F105" s="803"/>
      <c r="G105" s="803">
        <f t="shared" si="26"/>
        <v>0</v>
      </c>
      <c r="H105" s="803"/>
      <c r="I105" s="803">
        <f t="shared" si="27"/>
        <v>0</v>
      </c>
      <c r="J105" s="803">
        <f t="shared" si="28"/>
        <v>0</v>
      </c>
      <c r="K105" s="803">
        <f t="shared" si="29"/>
        <v>0</v>
      </c>
      <c r="L105" s="803"/>
      <c r="M105" s="648">
        <v>0</v>
      </c>
      <c r="N105" s="648"/>
      <c r="O105" s="648"/>
      <c r="P105" s="803"/>
      <c r="Q105" s="648"/>
      <c r="R105" s="648"/>
      <c r="S105" s="648"/>
    </row>
    <row r="106" spans="1:19">
      <c r="A106" s="821">
        <f t="shared" si="30"/>
        <v>9.4599999999999902</v>
      </c>
      <c r="B106" s="648" t="s">
        <v>1277</v>
      </c>
      <c r="C106" s="648">
        <f t="shared" si="24"/>
        <v>-12730111.119999999</v>
      </c>
      <c r="D106" s="648">
        <f t="shared" si="25"/>
        <v>-1882.98</v>
      </c>
      <c r="E106" s="803"/>
      <c r="F106" s="803"/>
      <c r="G106" s="803">
        <f t="shared" si="26"/>
        <v>-6365997</v>
      </c>
      <c r="H106" s="803"/>
      <c r="I106" s="803">
        <f t="shared" si="27"/>
        <v>-6365997.0499999998</v>
      </c>
      <c r="J106" s="803">
        <f t="shared" si="28"/>
        <v>0</v>
      </c>
      <c r="K106" s="803">
        <f t="shared" si="29"/>
        <v>0</v>
      </c>
      <c r="L106" s="803"/>
      <c r="M106" s="648">
        <v>-12730111.119999999</v>
      </c>
      <c r="N106" s="648"/>
      <c r="O106" s="648"/>
      <c r="P106" s="803"/>
      <c r="Q106" s="648">
        <v>-1882.98</v>
      </c>
      <c r="R106" s="648"/>
      <c r="S106" s="648"/>
    </row>
    <row r="107" spans="1:19">
      <c r="A107" s="821">
        <f t="shared" si="30"/>
        <v>9.46999999999999</v>
      </c>
      <c r="B107" s="648" t="s">
        <v>1278</v>
      </c>
      <c r="C107" s="648">
        <f t="shared" si="24"/>
        <v>199267.94</v>
      </c>
      <c r="D107" s="648">
        <f t="shared" si="25"/>
        <v>1286.3800000000001</v>
      </c>
      <c r="E107" s="803"/>
      <c r="F107" s="803"/>
      <c r="G107" s="803">
        <f t="shared" si="26"/>
        <v>100277</v>
      </c>
      <c r="H107" s="803"/>
      <c r="I107" s="803">
        <f t="shared" si="27"/>
        <v>100277.16</v>
      </c>
      <c r="J107" s="803">
        <f t="shared" si="28"/>
        <v>0</v>
      </c>
      <c r="K107" s="803">
        <f t="shared" si="29"/>
        <v>0</v>
      </c>
      <c r="L107" s="803"/>
      <c r="M107" s="648">
        <v>199267.94</v>
      </c>
      <c r="N107" s="648"/>
      <c r="O107" s="648"/>
      <c r="P107" s="803"/>
      <c r="Q107" s="648">
        <v>1286.3800000000001</v>
      </c>
      <c r="R107" s="648"/>
      <c r="S107" s="648"/>
    </row>
    <row r="108" spans="1:19">
      <c r="A108" s="821">
        <f t="shared" si="30"/>
        <v>9.4799999999999898</v>
      </c>
      <c r="B108" s="648" t="s">
        <v>1279</v>
      </c>
      <c r="C108" s="648">
        <f t="shared" si="24"/>
        <v>1081038.6299999999</v>
      </c>
      <c r="D108" s="648">
        <f t="shared" si="25"/>
        <v>1121689.8</v>
      </c>
      <c r="E108" s="803"/>
      <c r="F108" s="803"/>
      <c r="G108" s="803">
        <f t="shared" si="26"/>
        <v>1101364</v>
      </c>
      <c r="H108" s="803"/>
      <c r="I108" s="803">
        <f t="shared" si="27"/>
        <v>1101364.2149999999</v>
      </c>
      <c r="J108" s="803">
        <f t="shared" si="28"/>
        <v>0</v>
      </c>
      <c r="K108" s="803">
        <f t="shared" si="29"/>
        <v>0</v>
      </c>
      <c r="L108" s="803"/>
      <c r="M108" s="648">
        <v>1081038.6299999999</v>
      </c>
      <c r="N108" s="648"/>
      <c r="O108" s="648"/>
      <c r="P108" s="803"/>
      <c r="Q108" s="648">
        <v>1121689.8</v>
      </c>
      <c r="R108" s="648"/>
      <c r="S108" s="648"/>
    </row>
    <row r="109" spans="1:19">
      <c r="A109" s="821">
        <f t="shared" si="30"/>
        <v>9.4899999999999896</v>
      </c>
      <c r="B109" s="648" t="s">
        <v>1280</v>
      </c>
      <c r="C109" s="648">
        <f t="shared" si="24"/>
        <v>-0.21</v>
      </c>
      <c r="D109" s="648">
        <f t="shared" si="25"/>
        <v>-0.21</v>
      </c>
      <c r="E109" s="803"/>
      <c r="F109" s="803"/>
      <c r="G109" s="803">
        <f t="shared" si="26"/>
        <v>0</v>
      </c>
      <c r="H109" s="803"/>
      <c r="I109" s="803">
        <f t="shared" si="27"/>
        <v>-0.21</v>
      </c>
      <c r="J109" s="803">
        <f t="shared" si="28"/>
        <v>0</v>
      </c>
      <c r="K109" s="803">
        <f t="shared" si="29"/>
        <v>0</v>
      </c>
      <c r="L109" s="803"/>
      <c r="M109" s="648">
        <v>-0.21</v>
      </c>
      <c r="N109" s="648"/>
      <c r="O109" s="648"/>
      <c r="P109" s="803"/>
      <c r="Q109" s="648">
        <v>-0.21</v>
      </c>
      <c r="R109" s="648"/>
      <c r="S109" s="648"/>
    </row>
    <row r="110" spans="1:19">
      <c r="A110" s="821">
        <f t="shared" si="30"/>
        <v>9.4999999999999893</v>
      </c>
      <c r="B110" s="648" t="s">
        <v>1281</v>
      </c>
      <c r="C110" s="648">
        <f t="shared" si="24"/>
        <v>-249836.67</v>
      </c>
      <c r="D110" s="648">
        <f t="shared" si="25"/>
        <v>-127386.94</v>
      </c>
      <c r="E110" s="803"/>
      <c r="F110" s="803"/>
      <c r="G110" s="803">
        <f t="shared" si="26"/>
        <v>-188612</v>
      </c>
      <c r="H110" s="803"/>
      <c r="I110" s="803">
        <f t="shared" si="27"/>
        <v>-188611.80499999999</v>
      </c>
      <c r="J110" s="803">
        <f t="shared" si="28"/>
        <v>0</v>
      </c>
      <c r="K110" s="803">
        <f t="shared" si="29"/>
        <v>0</v>
      </c>
      <c r="L110" s="803"/>
      <c r="M110" s="648">
        <v>-249836.67</v>
      </c>
      <c r="N110" s="648"/>
      <c r="O110" s="648"/>
      <c r="P110" s="803"/>
      <c r="Q110" s="648">
        <v>-127386.94</v>
      </c>
      <c r="R110" s="648"/>
      <c r="S110" s="648"/>
    </row>
    <row r="111" spans="1:19">
      <c r="A111" s="821">
        <f t="shared" si="30"/>
        <v>9.5099999999999891</v>
      </c>
      <c r="B111" s="648" t="s">
        <v>1282</v>
      </c>
      <c r="C111" s="648">
        <f t="shared" si="24"/>
        <v>249836.64</v>
      </c>
      <c r="D111" s="648">
        <f t="shared" si="25"/>
        <v>127387.12000000001</v>
      </c>
      <c r="E111" s="803"/>
      <c r="F111" s="803"/>
      <c r="G111" s="803">
        <f t="shared" si="26"/>
        <v>188612</v>
      </c>
      <c r="H111" s="803"/>
      <c r="I111" s="803">
        <f t="shared" si="27"/>
        <v>188611.88</v>
      </c>
      <c r="J111" s="803">
        <f t="shared" si="28"/>
        <v>0</v>
      </c>
      <c r="K111" s="803">
        <f t="shared" si="29"/>
        <v>0</v>
      </c>
      <c r="L111" s="803"/>
      <c r="M111" s="648">
        <v>249836.64</v>
      </c>
      <c r="N111" s="648"/>
      <c r="O111" s="648"/>
      <c r="P111" s="803"/>
      <c r="Q111" s="648">
        <v>127387.12000000001</v>
      </c>
      <c r="R111" s="648"/>
      <c r="S111" s="648"/>
    </row>
    <row r="112" spans="1:19">
      <c r="A112" s="821">
        <f t="shared" si="30"/>
        <v>9.5199999999999889</v>
      </c>
      <c r="B112" s="648" t="s">
        <v>1283</v>
      </c>
      <c r="C112" s="648">
        <f t="shared" si="24"/>
        <v>0</v>
      </c>
      <c r="D112" s="648">
        <f t="shared" si="25"/>
        <v>0</v>
      </c>
      <c r="E112" s="803"/>
      <c r="F112" s="803"/>
      <c r="G112" s="803">
        <f t="shared" si="26"/>
        <v>0</v>
      </c>
      <c r="H112" s="803"/>
      <c r="I112" s="803">
        <f t="shared" si="27"/>
        <v>0</v>
      </c>
      <c r="J112" s="803">
        <f t="shared" si="28"/>
        <v>0</v>
      </c>
      <c r="K112" s="803">
        <f t="shared" si="29"/>
        <v>0</v>
      </c>
      <c r="L112" s="803"/>
      <c r="M112" s="648">
        <v>0</v>
      </c>
      <c r="N112" s="648"/>
      <c r="O112" s="648"/>
      <c r="P112" s="803"/>
      <c r="Q112" s="648"/>
      <c r="R112" s="648"/>
      <c r="S112" s="648"/>
    </row>
    <row r="113" spans="1:19">
      <c r="A113" s="821">
        <f t="shared" si="30"/>
        <v>9.5299999999999887</v>
      </c>
      <c r="B113" s="648" t="s">
        <v>1284</v>
      </c>
      <c r="C113" s="648">
        <f t="shared" si="24"/>
        <v>0.21</v>
      </c>
      <c r="D113" s="648">
        <f t="shared" si="25"/>
        <v>0.21</v>
      </c>
      <c r="E113" s="803"/>
      <c r="F113" s="803"/>
      <c r="G113" s="803">
        <f t="shared" si="26"/>
        <v>0</v>
      </c>
      <c r="H113" s="803"/>
      <c r="I113" s="803">
        <f t="shared" si="27"/>
        <v>0.21</v>
      </c>
      <c r="J113" s="803">
        <f t="shared" si="28"/>
        <v>0</v>
      </c>
      <c r="K113" s="803">
        <f t="shared" si="29"/>
        <v>0</v>
      </c>
      <c r="L113" s="803"/>
      <c r="M113" s="648">
        <v>0.21</v>
      </c>
      <c r="N113" s="648"/>
      <c r="O113" s="648"/>
      <c r="P113" s="803"/>
      <c r="Q113" s="648">
        <v>0.21</v>
      </c>
      <c r="R113" s="648"/>
      <c r="S113" s="648"/>
    </row>
    <row r="114" spans="1:19">
      <c r="A114" s="821">
        <f t="shared" si="30"/>
        <v>9.5399999999999885</v>
      </c>
      <c r="B114" s="648" t="s">
        <v>1285</v>
      </c>
      <c r="C114" s="648">
        <f t="shared" si="24"/>
        <v>-990974</v>
      </c>
      <c r="D114" s="648">
        <f t="shared" si="25"/>
        <v>0</v>
      </c>
      <c r="E114" s="803"/>
      <c r="F114" s="803"/>
      <c r="G114" s="803">
        <f t="shared" si="26"/>
        <v>-495487</v>
      </c>
      <c r="H114" s="803"/>
      <c r="I114" s="803">
        <f t="shared" si="27"/>
        <v>-495487</v>
      </c>
      <c r="J114" s="803">
        <f t="shared" si="28"/>
        <v>0</v>
      </c>
      <c r="K114" s="803">
        <f t="shared" si="29"/>
        <v>0</v>
      </c>
      <c r="L114" s="803"/>
      <c r="M114" s="648">
        <v>-990974</v>
      </c>
      <c r="N114" s="648"/>
      <c r="O114" s="648"/>
      <c r="P114" s="803"/>
      <c r="Q114" s="648"/>
      <c r="R114" s="648"/>
      <c r="S114" s="648"/>
    </row>
    <row r="115" spans="1:19">
      <c r="A115" s="821">
        <f t="shared" si="30"/>
        <v>9.5499999999999883</v>
      </c>
      <c r="B115" s="648" t="s">
        <v>1286</v>
      </c>
      <c r="C115" s="648">
        <f t="shared" si="24"/>
        <v>2118020.87</v>
      </c>
      <c r="D115" s="648">
        <f t="shared" si="25"/>
        <v>0.21</v>
      </c>
      <c r="E115" s="803"/>
      <c r="F115" s="803"/>
      <c r="G115" s="803">
        <f t="shared" si="26"/>
        <v>1059011</v>
      </c>
      <c r="H115" s="803"/>
      <c r="I115" s="803">
        <f t="shared" si="27"/>
        <v>1059010.54</v>
      </c>
      <c r="J115" s="803">
        <f t="shared" si="28"/>
        <v>0</v>
      </c>
      <c r="K115" s="803">
        <f t="shared" si="29"/>
        <v>0</v>
      </c>
      <c r="L115" s="803"/>
      <c r="M115" s="648">
        <v>2118020.87</v>
      </c>
      <c r="N115" s="648"/>
      <c r="O115" s="648"/>
      <c r="P115" s="803"/>
      <c r="Q115" s="648">
        <v>0.21</v>
      </c>
      <c r="R115" s="648"/>
      <c r="S115" s="648"/>
    </row>
    <row r="116" spans="1:19">
      <c r="A116" s="821">
        <f t="shared" si="30"/>
        <v>9.5599999999999881</v>
      </c>
      <c r="B116" s="648" t="s">
        <v>1287</v>
      </c>
      <c r="C116" s="648">
        <f t="shared" si="24"/>
        <v>8325203.71</v>
      </c>
      <c r="D116" s="648">
        <f t="shared" si="25"/>
        <v>-0.21</v>
      </c>
      <c r="E116" s="803"/>
      <c r="F116" s="803"/>
      <c r="G116" s="803">
        <f t="shared" si="26"/>
        <v>4162602</v>
      </c>
      <c r="H116" s="803"/>
      <c r="I116" s="803">
        <f t="shared" si="27"/>
        <v>4162601.75</v>
      </c>
      <c r="J116" s="803">
        <f t="shared" si="28"/>
        <v>0</v>
      </c>
      <c r="K116" s="803">
        <f t="shared" si="29"/>
        <v>0</v>
      </c>
      <c r="L116" s="803"/>
      <c r="M116" s="648">
        <v>8325203.71</v>
      </c>
      <c r="N116" s="648"/>
      <c r="O116" s="648"/>
      <c r="P116" s="803"/>
      <c r="Q116" s="648">
        <v>-0.21</v>
      </c>
      <c r="R116" s="648"/>
      <c r="S116" s="648"/>
    </row>
    <row r="117" spans="1:19">
      <c r="A117" s="821">
        <f t="shared" si="30"/>
        <v>9.5699999999999878</v>
      </c>
      <c r="B117" s="648" t="s">
        <v>1288</v>
      </c>
      <c r="C117" s="648">
        <f t="shared" si="24"/>
        <v>12048248.15</v>
      </c>
      <c r="D117" s="648">
        <f t="shared" si="25"/>
        <v>-0.23</v>
      </c>
      <c r="E117" s="803"/>
      <c r="F117" s="803"/>
      <c r="G117" s="803">
        <f t="shared" si="26"/>
        <v>6024124</v>
      </c>
      <c r="H117" s="803"/>
      <c r="I117" s="803">
        <f t="shared" si="27"/>
        <v>6024123.96</v>
      </c>
      <c r="J117" s="803">
        <f t="shared" si="28"/>
        <v>0</v>
      </c>
      <c r="K117" s="803">
        <f t="shared" si="29"/>
        <v>0</v>
      </c>
      <c r="L117" s="803"/>
      <c r="M117" s="648">
        <v>12048248.15</v>
      </c>
      <c r="N117" s="648"/>
      <c r="O117" s="648"/>
      <c r="P117" s="803"/>
      <c r="Q117" s="648">
        <v>-0.23</v>
      </c>
      <c r="R117" s="648"/>
      <c r="S117" s="648"/>
    </row>
    <row r="118" spans="1:19">
      <c r="A118" s="821">
        <f t="shared" si="30"/>
        <v>9.5799999999999876</v>
      </c>
      <c r="B118" s="648" t="s">
        <v>1289</v>
      </c>
      <c r="C118" s="648">
        <f t="shared" si="24"/>
        <v>0</v>
      </c>
      <c r="D118" s="648">
        <f t="shared" si="25"/>
        <v>0</v>
      </c>
      <c r="E118" s="803"/>
      <c r="F118" s="803"/>
      <c r="G118" s="803">
        <f t="shared" si="26"/>
        <v>0</v>
      </c>
      <c r="H118" s="803"/>
      <c r="I118" s="803">
        <f t="shared" si="27"/>
        <v>0</v>
      </c>
      <c r="J118" s="803">
        <f t="shared" si="28"/>
        <v>0</v>
      </c>
      <c r="K118" s="803">
        <f t="shared" si="29"/>
        <v>0</v>
      </c>
      <c r="L118" s="803"/>
      <c r="M118" s="648">
        <v>0</v>
      </c>
      <c r="N118" s="648"/>
      <c r="O118" s="648"/>
      <c r="P118" s="803"/>
      <c r="Q118" s="648"/>
      <c r="R118" s="648"/>
      <c r="S118" s="648"/>
    </row>
    <row r="119" spans="1:19">
      <c r="A119" s="821">
        <f t="shared" si="30"/>
        <v>9.5899999999999874</v>
      </c>
      <c r="B119" s="648" t="s">
        <v>1290</v>
      </c>
      <c r="C119" s="648">
        <f t="shared" si="24"/>
        <v>0</v>
      </c>
      <c r="D119" s="648">
        <f t="shared" si="25"/>
        <v>0</v>
      </c>
      <c r="E119" s="803"/>
      <c r="F119" s="803"/>
      <c r="G119" s="803">
        <f t="shared" si="26"/>
        <v>0</v>
      </c>
      <c r="H119" s="803"/>
      <c r="I119" s="803">
        <f t="shared" si="27"/>
        <v>0</v>
      </c>
      <c r="J119" s="803">
        <f t="shared" si="28"/>
        <v>0</v>
      </c>
      <c r="K119" s="803">
        <f t="shared" si="29"/>
        <v>0</v>
      </c>
      <c r="L119" s="803"/>
      <c r="M119" s="648">
        <v>0</v>
      </c>
      <c r="N119" s="648"/>
      <c r="O119" s="648"/>
      <c r="P119" s="803"/>
      <c r="Q119" s="648"/>
      <c r="R119" s="648"/>
      <c r="S119" s="648"/>
    </row>
    <row r="120" spans="1:19">
      <c r="A120" s="821">
        <f t="shared" si="30"/>
        <v>9.5999999999999872</v>
      </c>
      <c r="B120" s="648" t="s">
        <v>1291</v>
      </c>
      <c r="C120" s="648">
        <f t="shared" si="24"/>
        <v>-0.2</v>
      </c>
      <c r="D120" s="648">
        <f t="shared" si="25"/>
        <v>-0.2</v>
      </c>
      <c r="E120" s="803"/>
      <c r="F120" s="803"/>
      <c r="G120" s="803">
        <f t="shared" si="26"/>
        <v>0</v>
      </c>
      <c r="H120" s="803"/>
      <c r="I120" s="803">
        <f t="shared" si="27"/>
        <v>-0.2</v>
      </c>
      <c r="J120" s="803">
        <f t="shared" si="28"/>
        <v>0</v>
      </c>
      <c r="K120" s="803">
        <f t="shared" si="29"/>
        <v>0</v>
      </c>
      <c r="L120" s="803"/>
      <c r="M120" s="648">
        <v>-0.2</v>
      </c>
      <c r="N120" s="648"/>
      <c r="O120" s="648"/>
      <c r="P120" s="803"/>
      <c r="Q120" s="648">
        <v>-0.2</v>
      </c>
      <c r="R120" s="648"/>
      <c r="S120" s="648"/>
    </row>
    <row r="121" spans="1:19">
      <c r="A121" s="821">
        <f t="shared" si="30"/>
        <v>9.609999999999987</v>
      </c>
      <c r="B121" s="648" t="s">
        <v>1299</v>
      </c>
      <c r="C121" s="648">
        <f t="shared" ref="C121:C122" si="49">SUM(M121:O121)</f>
        <v>55596.24</v>
      </c>
      <c r="D121" s="648">
        <f t="shared" ref="D121:D122" si="50">SUM(Q121:S121)</f>
        <v>48580.56</v>
      </c>
      <c r="E121" s="803"/>
      <c r="F121" s="803"/>
      <c r="G121" s="803">
        <f t="shared" ref="G121:G122" si="51">ROUND(SUM(C121:F121)/2,0)</f>
        <v>52088</v>
      </c>
      <c r="H121" s="803"/>
      <c r="I121" s="803">
        <f t="shared" ref="I121:I122" si="52">(M121+Q121)/2</f>
        <v>0</v>
      </c>
      <c r="J121" s="803">
        <f t="shared" ref="J121:J122" si="53">(N121+R121)/2</f>
        <v>52088.399999999994</v>
      </c>
      <c r="K121" s="803">
        <f t="shared" ref="K121:K122" si="54">(O121+S121)/2</f>
        <v>0</v>
      </c>
      <c r="L121" s="803"/>
      <c r="M121" s="648"/>
      <c r="N121" s="648">
        <v>55596.24</v>
      </c>
      <c r="O121" s="648"/>
      <c r="P121" s="803"/>
      <c r="Q121" s="648"/>
      <c r="R121" s="648">
        <v>48580.56</v>
      </c>
      <c r="S121" s="648"/>
    </row>
    <row r="122" spans="1:19">
      <c r="A122" s="821">
        <f t="shared" si="30"/>
        <v>9.6199999999999868</v>
      </c>
      <c r="B122" s="648" t="s">
        <v>1300</v>
      </c>
      <c r="C122" s="648">
        <f t="shared" si="49"/>
        <v>8658.93</v>
      </c>
      <c r="D122" s="648">
        <f t="shared" si="50"/>
        <v>7565.25</v>
      </c>
      <c r="E122" s="803"/>
      <c r="F122" s="803"/>
      <c r="G122" s="803">
        <f t="shared" si="51"/>
        <v>8112</v>
      </c>
      <c r="H122" s="803"/>
      <c r="I122" s="803">
        <f t="shared" si="52"/>
        <v>0</v>
      </c>
      <c r="J122" s="803">
        <f t="shared" si="53"/>
        <v>8112.09</v>
      </c>
      <c r="K122" s="803">
        <f t="shared" si="54"/>
        <v>0</v>
      </c>
      <c r="L122" s="803"/>
      <c r="M122" s="648"/>
      <c r="N122" s="648">
        <v>8658.93</v>
      </c>
      <c r="O122" s="648"/>
      <c r="P122" s="803"/>
      <c r="Q122" s="648"/>
      <c r="R122" s="648">
        <v>7565.25</v>
      </c>
      <c r="S122" s="648"/>
    </row>
    <row r="123" spans="1:19">
      <c r="A123" s="821">
        <f t="shared" si="30"/>
        <v>9.6299999999999866</v>
      </c>
      <c r="B123" s="648" t="s">
        <v>1292</v>
      </c>
      <c r="C123" s="648">
        <f t="shared" si="24"/>
        <v>3621420.42</v>
      </c>
      <c r="D123" s="648">
        <f t="shared" si="25"/>
        <v>1239.1300000000001</v>
      </c>
      <c r="E123" s="803"/>
      <c r="F123" s="803"/>
      <c r="G123" s="803">
        <f t="shared" si="26"/>
        <v>1811330</v>
      </c>
      <c r="H123" s="803"/>
      <c r="I123" s="803">
        <f t="shared" si="27"/>
        <v>1811329.7749999999</v>
      </c>
      <c r="J123" s="803">
        <f t="shared" si="28"/>
        <v>0</v>
      </c>
      <c r="K123" s="803">
        <f t="shared" si="29"/>
        <v>0</v>
      </c>
      <c r="L123" s="803"/>
      <c r="M123" s="648">
        <v>3621420.42</v>
      </c>
      <c r="N123" s="648"/>
      <c r="O123" s="648"/>
      <c r="P123" s="803"/>
      <c r="Q123" s="648">
        <v>1239.1300000000001</v>
      </c>
      <c r="R123" s="648"/>
      <c r="S123" s="648"/>
    </row>
    <row r="124" spans="1:19">
      <c r="A124" s="821">
        <f t="shared" si="30"/>
        <v>9.6399999999999864</v>
      </c>
      <c r="B124" s="648" t="s">
        <v>1293</v>
      </c>
      <c r="C124" s="648">
        <f t="shared" si="24"/>
        <v>-1498434.51</v>
      </c>
      <c r="D124" s="648">
        <f t="shared" si="25"/>
        <v>-512.72</v>
      </c>
      <c r="E124" s="803"/>
      <c r="F124" s="803"/>
      <c r="G124" s="803">
        <f t="shared" si="26"/>
        <v>-749474</v>
      </c>
      <c r="H124" s="803"/>
      <c r="I124" s="803">
        <f t="shared" si="27"/>
        <v>-749473.61499999999</v>
      </c>
      <c r="J124" s="803">
        <f t="shared" si="28"/>
        <v>0</v>
      </c>
      <c r="K124" s="803">
        <f t="shared" si="29"/>
        <v>0</v>
      </c>
      <c r="L124" s="803"/>
      <c r="M124" s="648">
        <v>-1498434.51</v>
      </c>
      <c r="N124" s="648"/>
      <c r="O124" s="648"/>
      <c r="P124" s="803"/>
      <c r="Q124" s="648">
        <v>-512.72</v>
      </c>
      <c r="R124" s="648"/>
      <c r="S124" s="648"/>
    </row>
    <row r="125" spans="1:19">
      <c r="A125" s="821">
        <f t="shared" si="30"/>
        <v>9.6499999999999861</v>
      </c>
      <c r="B125" s="648" t="s">
        <v>1294</v>
      </c>
      <c r="C125" s="648">
        <f t="shared" si="24"/>
        <v>-5269388.1500000004</v>
      </c>
      <c r="D125" s="648">
        <f t="shared" si="25"/>
        <v>0.26</v>
      </c>
      <c r="E125" s="803"/>
      <c r="F125" s="803"/>
      <c r="G125" s="803">
        <f t="shared" si="26"/>
        <v>-2634694</v>
      </c>
      <c r="H125" s="803"/>
      <c r="I125" s="803">
        <f t="shared" si="27"/>
        <v>-2634693.9450000003</v>
      </c>
      <c r="J125" s="803">
        <f t="shared" si="28"/>
        <v>0</v>
      </c>
      <c r="K125" s="803">
        <f t="shared" si="29"/>
        <v>0</v>
      </c>
      <c r="L125" s="803"/>
      <c r="M125" s="648">
        <v>-5269388.1500000004</v>
      </c>
      <c r="N125" s="648"/>
      <c r="O125" s="648"/>
      <c r="P125" s="803"/>
      <c r="Q125" s="648">
        <v>0.26</v>
      </c>
      <c r="R125" s="648"/>
      <c r="S125" s="648"/>
    </row>
    <row r="126" spans="1:19">
      <c r="A126" s="821">
        <f t="shared" si="30"/>
        <v>9.6599999999999859</v>
      </c>
      <c r="B126" s="648" t="s">
        <v>1295</v>
      </c>
      <c r="C126" s="648">
        <f t="shared" si="24"/>
        <v>23207209.23</v>
      </c>
      <c r="D126" s="648">
        <f t="shared" si="25"/>
        <v>61715.53</v>
      </c>
      <c r="E126" s="808"/>
      <c r="F126" s="808"/>
      <c r="G126" s="808">
        <f t="shared" si="26"/>
        <v>11634462</v>
      </c>
      <c r="H126" s="808"/>
      <c r="I126" s="808">
        <f t="shared" si="27"/>
        <v>11634462.380000001</v>
      </c>
      <c r="J126" s="808">
        <f t="shared" si="28"/>
        <v>0</v>
      </c>
      <c r="K126" s="808">
        <f t="shared" si="29"/>
        <v>0</v>
      </c>
      <c r="L126" s="808"/>
      <c r="M126" s="648">
        <v>23207209.23</v>
      </c>
      <c r="N126" s="648"/>
      <c r="O126" s="648"/>
      <c r="P126" s="808"/>
      <c r="Q126" s="648">
        <v>61715.53</v>
      </c>
      <c r="R126" s="648"/>
      <c r="S126" s="648"/>
    </row>
    <row r="127" spans="1:19">
      <c r="A127" s="821">
        <f t="shared" si="30"/>
        <v>9.6699999999999857</v>
      </c>
      <c r="B127" s="648" t="s">
        <v>1296</v>
      </c>
      <c r="C127" s="648">
        <f t="shared" si="24"/>
        <v>53866902.939999998</v>
      </c>
      <c r="D127" s="648">
        <f t="shared" si="25"/>
        <v>-0.06</v>
      </c>
      <c r="E127" s="803"/>
      <c r="F127" s="803"/>
      <c r="G127" s="803">
        <f t="shared" si="26"/>
        <v>26933451</v>
      </c>
      <c r="H127" s="803"/>
      <c r="I127" s="803">
        <f t="shared" si="27"/>
        <v>26933451.439999998</v>
      </c>
      <c r="J127" s="803">
        <f t="shared" si="28"/>
        <v>0</v>
      </c>
      <c r="K127" s="803">
        <f t="shared" si="29"/>
        <v>0</v>
      </c>
      <c r="L127" s="803"/>
      <c r="M127" s="648">
        <v>53866902.939999998</v>
      </c>
      <c r="N127" s="648"/>
      <c r="O127" s="648"/>
      <c r="P127" s="803"/>
      <c r="Q127" s="648">
        <v>-0.06</v>
      </c>
      <c r="R127" s="648"/>
      <c r="S127" s="648"/>
    </row>
    <row r="128" spans="1:19">
      <c r="A128" s="821">
        <f t="shared" si="30"/>
        <v>9.6799999999999855</v>
      </c>
      <c r="B128" s="648" t="s">
        <v>1297</v>
      </c>
      <c r="C128" s="648">
        <f t="shared" si="24"/>
        <v>633315.03</v>
      </c>
      <c r="D128" s="648">
        <f t="shared" si="25"/>
        <v>0.09</v>
      </c>
      <c r="E128" s="803"/>
      <c r="F128" s="803"/>
      <c r="G128" s="803">
        <f t="shared" si="26"/>
        <v>316658</v>
      </c>
      <c r="H128" s="803"/>
      <c r="I128" s="803">
        <f t="shared" si="27"/>
        <v>316657.56</v>
      </c>
      <c r="J128" s="803">
        <f t="shared" si="28"/>
        <v>0</v>
      </c>
      <c r="K128" s="803">
        <f t="shared" si="29"/>
        <v>0</v>
      </c>
      <c r="L128" s="803"/>
      <c r="M128" s="648">
        <v>633315.03</v>
      </c>
      <c r="N128" s="648"/>
      <c r="O128" s="648"/>
      <c r="P128" s="803"/>
      <c r="Q128" s="648">
        <v>0.09</v>
      </c>
      <c r="R128" s="648"/>
      <c r="S128" s="648"/>
    </row>
    <row r="129" spans="1:19">
      <c r="A129" s="821">
        <f t="shared" si="30"/>
        <v>9.6899999999999853</v>
      </c>
      <c r="B129" s="648" t="s">
        <v>1298</v>
      </c>
      <c r="C129" s="648">
        <f t="shared" si="24"/>
        <v>105164.64</v>
      </c>
      <c r="D129" s="648">
        <f t="shared" si="25"/>
        <v>0</v>
      </c>
      <c r="E129" s="803"/>
      <c r="F129" s="803"/>
      <c r="G129" s="803">
        <f t="shared" si="26"/>
        <v>52582</v>
      </c>
      <c r="H129" s="803"/>
      <c r="I129" s="803">
        <f t="shared" si="27"/>
        <v>52582.32</v>
      </c>
      <c r="J129" s="803">
        <f t="shared" si="28"/>
        <v>0</v>
      </c>
      <c r="K129" s="803">
        <f t="shared" si="29"/>
        <v>0</v>
      </c>
      <c r="L129" s="803"/>
      <c r="M129" s="648">
        <v>105164.64</v>
      </c>
      <c r="N129" s="648"/>
      <c r="O129" s="648"/>
      <c r="P129" s="803"/>
      <c r="Q129" s="648">
        <v>0</v>
      </c>
      <c r="R129" s="648"/>
      <c r="S129" s="648"/>
    </row>
    <row r="130" spans="1:19">
      <c r="A130" s="821">
        <f t="shared" si="30"/>
        <v>9.6999999999999851</v>
      </c>
      <c r="B130" s="648" t="s">
        <v>1378</v>
      </c>
      <c r="C130" s="648">
        <f t="shared" ref="C130:C131" si="55">SUM(M130:O130)</f>
        <v>0</v>
      </c>
      <c r="D130" s="648">
        <f t="shared" ref="D130:D131" si="56">SUM(Q130:S130)</f>
        <v>60727941.399999999</v>
      </c>
      <c r="E130" s="803"/>
      <c r="F130" s="803"/>
      <c r="G130" s="803">
        <f t="shared" ref="G130:G131" si="57">ROUND(SUM(C130:F130)/2,0)</f>
        <v>30363971</v>
      </c>
      <c r="H130" s="803"/>
      <c r="I130" s="803">
        <f t="shared" ref="I130:I131" si="58">(M130+Q130)/2</f>
        <v>30363970.699999999</v>
      </c>
      <c r="J130" s="803">
        <f t="shared" ref="J130:J131" si="59">(N130+R130)/2</f>
        <v>0</v>
      </c>
      <c r="K130" s="803">
        <f t="shared" ref="K130:K131" si="60">(O130+S130)/2</f>
        <v>0</v>
      </c>
      <c r="L130" s="803"/>
      <c r="M130" s="648"/>
      <c r="N130" s="648"/>
      <c r="O130" s="648"/>
      <c r="P130" s="803"/>
      <c r="Q130" s="648">
        <v>60727941.399999999</v>
      </c>
      <c r="R130" s="648"/>
      <c r="S130" s="648"/>
    </row>
    <row r="131" spans="1:19">
      <c r="A131" s="821">
        <f t="shared" si="30"/>
        <v>9.7099999999999849</v>
      </c>
      <c r="B131" s="648" t="s">
        <v>1379</v>
      </c>
      <c r="C131" s="648">
        <f t="shared" si="55"/>
        <v>0</v>
      </c>
      <c r="D131" s="648">
        <f t="shared" si="56"/>
        <v>36229198.990000002</v>
      </c>
      <c r="E131" s="803"/>
      <c r="F131" s="803"/>
      <c r="G131" s="803">
        <f t="shared" si="57"/>
        <v>18114599</v>
      </c>
      <c r="H131" s="803"/>
      <c r="I131" s="803">
        <f t="shared" si="58"/>
        <v>18114599.495000001</v>
      </c>
      <c r="J131" s="803">
        <f t="shared" si="59"/>
        <v>0</v>
      </c>
      <c r="K131" s="803">
        <f t="shared" si="60"/>
        <v>0</v>
      </c>
      <c r="L131" s="803"/>
      <c r="M131" s="648"/>
      <c r="N131" s="648"/>
      <c r="O131" s="648"/>
      <c r="P131" s="803"/>
      <c r="Q131" s="648">
        <v>36229198.990000002</v>
      </c>
      <c r="R131" s="648"/>
      <c r="S131" s="648"/>
    </row>
    <row r="132" spans="1:19">
      <c r="A132" s="821">
        <f t="shared" si="30"/>
        <v>9.7199999999999847</v>
      </c>
      <c r="B132" s="1051" t="s">
        <v>1070</v>
      </c>
      <c r="C132" s="1051">
        <f t="shared" ref="C132" si="61">SUM(M132:O132)</f>
        <v>0</v>
      </c>
      <c r="D132" s="1051">
        <f t="shared" ref="D132" si="62">SUM(Q132:S132)</f>
        <v>0</v>
      </c>
      <c r="E132" s="1052"/>
      <c r="F132" s="1052"/>
      <c r="G132" s="803">
        <f t="shared" ref="G132:G133" si="63">ROUND(SUM(C132:F132)/2,0)</f>
        <v>0</v>
      </c>
      <c r="H132" s="803"/>
      <c r="I132" s="803">
        <f t="shared" ref="I132:K132" si="64">(M132+Q132)/2</f>
        <v>0</v>
      </c>
      <c r="J132" s="803">
        <f t="shared" si="64"/>
        <v>0</v>
      </c>
      <c r="K132" s="803">
        <f t="shared" si="64"/>
        <v>0</v>
      </c>
      <c r="L132" s="803"/>
      <c r="M132" s="648">
        <v>0</v>
      </c>
      <c r="N132" s="648">
        <v>0</v>
      </c>
      <c r="O132" s="648">
        <v>0</v>
      </c>
      <c r="P132" s="803"/>
      <c r="Q132" s="648"/>
      <c r="R132" s="648"/>
      <c r="S132" s="648"/>
    </row>
    <row r="133" spans="1:19">
      <c r="A133" s="821">
        <f t="shared" si="30"/>
        <v>9.7299999999999844</v>
      </c>
      <c r="B133" s="1051" t="s">
        <v>1071</v>
      </c>
      <c r="C133" s="1051">
        <f>-E133</f>
        <v>0</v>
      </c>
      <c r="D133" s="1051">
        <f>-F133</f>
        <v>0</v>
      </c>
      <c r="E133" s="1052">
        <f>C132</f>
        <v>0</v>
      </c>
      <c r="F133" s="1052">
        <f>D132</f>
        <v>0</v>
      </c>
      <c r="G133" s="803">
        <f t="shared" si="63"/>
        <v>0</v>
      </c>
      <c r="H133" s="803"/>
      <c r="I133" s="803"/>
      <c r="J133" s="803"/>
      <c r="K133" s="803"/>
      <c r="L133" s="803"/>
      <c r="M133" s="1053"/>
      <c r="N133" s="1053"/>
      <c r="O133" s="1053"/>
      <c r="P133" s="803"/>
      <c r="Q133" s="1053"/>
      <c r="R133" s="1053"/>
      <c r="S133" s="1053"/>
    </row>
    <row r="134" spans="1:19">
      <c r="A134" s="821">
        <f t="shared" si="30"/>
        <v>9.7399999999999842</v>
      </c>
      <c r="B134" s="648" t="s">
        <v>945</v>
      </c>
      <c r="C134" s="648">
        <f>-E134</f>
        <v>0.09</v>
      </c>
      <c r="D134" s="648">
        <f>-F134</f>
        <v>0.09</v>
      </c>
      <c r="E134" s="803">
        <v>-0.09</v>
      </c>
      <c r="F134" s="803">
        <v>-0.09</v>
      </c>
      <c r="G134" s="803">
        <f t="shared" ref="G134:G140" si="65">ROUND(SUM(C134:F134)/2,0)</f>
        <v>0</v>
      </c>
      <c r="H134" s="803"/>
      <c r="I134" s="803"/>
      <c r="J134" s="803"/>
      <c r="K134" s="803"/>
      <c r="L134" s="803"/>
      <c r="M134" s="803"/>
      <c r="N134" s="803"/>
      <c r="O134" s="803"/>
      <c r="P134" s="803"/>
      <c r="Q134" s="803"/>
      <c r="R134" s="803"/>
      <c r="S134" s="803"/>
    </row>
    <row r="135" spans="1:19">
      <c r="A135" s="821">
        <f t="shared" si="30"/>
        <v>9.749999999999984</v>
      </c>
      <c r="B135" s="648" t="s">
        <v>946</v>
      </c>
      <c r="C135" s="648">
        <f t="shared" ref="C135:C140" si="66">-E135</f>
        <v>30671947.379999999</v>
      </c>
      <c r="D135" s="648">
        <f t="shared" ref="D135:D140" si="67">-F135</f>
        <v>25712989.260000002</v>
      </c>
      <c r="E135" s="803">
        <v>-30671947.379999999</v>
      </c>
      <c r="F135" s="803">
        <v>-25712989.260000002</v>
      </c>
      <c r="G135" s="803">
        <f t="shared" si="65"/>
        <v>0</v>
      </c>
      <c r="H135" s="803"/>
      <c r="I135" s="803"/>
      <c r="J135" s="803"/>
      <c r="K135" s="803"/>
      <c r="L135" s="803"/>
      <c r="M135" s="803"/>
      <c r="N135" s="803"/>
      <c r="O135" s="803"/>
      <c r="P135" s="803"/>
      <c r="Q135" s="803"/>
      <c r="R135" s="803"/>
      <c r="S135" s="803"/>
    </row>
    <row r="136" spans="1:19">
      <c r="A136" s="821">
        <f t="shared" si="30"/>
        <v>9.7599999999999838</v>
      </c>
      <c r="B136" s="648" t="s">
        <v>947</v>
      </c>
      <c r="C136" s="648">
        <f t="shared" si="66"/>
        <v>971034.86</v>
      </c>
      <c r="D136" s="648">
        <f t="shared" si="67"/>
        <v>1545201.23</v>
      </c>
      <c r="E136" s="803">
        <v>-971034.86</v>
      </c>
      <c r="F136" s="803">
        <v>-1545201.23</v>
      </c>
      <c r="G136" s="803">
        <f t="shared" si="65"/>
        <v>0</v>
      </c>
      <c r="H136" s="803"/>
      <c r="I136" s="803"/>
      <c r="J136" s="803"/>
      <c r="K136" s="803"/>
      <c r="L136" s="803"/>
      <c r="M136" s="803"/>
      <c r="N136" s="803"/>
      <c r="O136" s="803"/>
      <c r="P136" s="803"/>
      <c r="Q136" s="803"/>
      <c r="R136" s="803"/>
      <c r="S136" s="803"/>
    </row>
    <row r="137" spans="1:19">
      <c r="A137" s="821">
        <f t="shared" si="30"/>
        <v>9.7699999999999836</v>
      </c>
      <c r="B137" s="648" t="s">
        <v>1359</v>
      </c>
      <c r="C137" s="648">
        <f t="shared" ref="C137" si="68">-E137</f>
        <v>0</v>
      </c>
      <c r="D137" s="648">
        <f t="shared" ref="D137" si="69">-F137</f>
        <v>278756.09999999998</v>
      </c>
      <c r="E137" s="803">
        <v>0</v>
      </c>
      <c r="F137" s="803">
        <v>-278756.09999999998</v>
      </c>
      <c r="G137" s="803">
        <f t="shared" ref="G137" si="70">ROUND(SUM(C137:F137)/2,0)</f>
        <v>0</v>
      </c>
      <c r="H137" s="803"/>
      <c r="I137" s="803"/>
      <c r="J137" s="803"/>
      <c r="K137" s="803"/>
      <c r="L137" s="803"/>
      <c r="M137" s="803"/>
      <c r="N137" s="803"/>
      <c r="O137" s="803"/>
      <c r="P137" s="803"/>
      <c r="Q137" s="803"/>
      <c r="R137" s="803"/>
      <c r="S137" s="803"/>
    </row>
    <row r="138" spans="1:19">
      <c r="A138" s="821">
        <f t="shared" si="30"/>
        <v>9.7799999999999834</v>
      </c>
      <c r="B138" s="648" t="s">
        <v>948</v>
      </c>
      <c r="C138" s="648">
        <f t="shared" si="66"/>
        <v>0</v>
      </c>
      <c r="D138" s="648">
        <f t="shared" si="67"/>
        <v>0</v>
      </c>
      <c r="E138" s="803">
        <v>0</v>
      </c>
      <c r="F138" s="803">
        <v>0</v>
      </c>
      <c r="G138" s="803">
        <f t="shared" si="65"/>
        <v>0</v>
      </c>
      <c r="H138" s="803"/>
      <c r="I138" s="803"/>
      <c r="J138" s="803"/>
      <c r="K138" s="803"/>
      <c r="L138" s="803"/>
      <c r="M138" s="803"/>
      <c r="N138" s="803"/>
      <c r="O138" s="803"/>
      <c r="P138" s="803"/>
      <c r="Q138" s="803"/>
      <c r="R138" s="803"/>
      <c r="S138" s="803"/>
    </row>
    <row r="139" spans="1:19">
      <c r="A139" s="821">
        <f t="shared" si="30"/>
        <v>9.7899999999999832</v>
      </c>
      <c r="B139" s="648" t="s">
        <v>949</v>
      </c>
      <c r="C139" s="648">
        <f t="shared" si="66"/>
        <v>0</v>
      </c>
      <c r="D139" s="648">
        <f t="shared" si="67"/>
        <v>0</v>
      </c>
      <c r="E139" s="803">
        <v>0</v>
      </c>
      <c r="F139" s="803">
        <v>0</v>
      </c>
      <c r="G139" s="803">
        <f t="shared" si="65"/>
        <v>0</v>
      </c>
      <c r="H139" s="803"/>
      <c r="I139" s="803"/>
      <c r="J139" s="803"/>
      <c r="K139" s="803"/>
      <c r="L139" s="803"/>
      <c r="M139" s="803"/>
      <c r="N139" s="803"/>
      <c r="O139" s="803"/>
      <c r="P139" s="803"/>
      <c r="Q139" s="803"/>
      <c r="R139" s="803"/>
      <c r="S139" s="803"/>
    </row>
    <row r="140" spans="1:19">
      <c r="A140" s="821"/>
      <c r="B140" s="648"/>
      <c r="C140" s="648">
        <f t="shared" si="66"/>
        <v>0</v>
      </c>
      <c r="D140" s="648">
        <f t="shared" si="67"/>
        <v>0</v>
      </c>
      <c r="E140" s="803">
        <v>0</v>
      </c>
      <c r="F140" s="803">
        <v>0</v>
      </c>
      <c r="G140" s="803">
        <f t="shared" si="65"/>
        <v>0</v>
      </c>
      <c r="H140" s="803"/>
      <c r="I140" s="803"/>
      <c r="J140" s="803"/>
      <c r="K140" s="803"/>
      <c r="L140" s="803"/>
      <c r="M140" s="803"/>
      <c r="N140" s="803"/>
      <c r="O140" s="803"/>
      <c r="P140" s="803"/>
      <c r="Q140" s="803"/>
      <c r="R140" s="803"/>
      <c r="S140" s="803"/>
    </row>
    <row r="141" spans="1:19">
      <c r="A141" s="811"/>
      <c r="B141" s="796"/>
      <c r="C141" s="803"/>
      <c r="D141" s="803"/>
      <c r="E141" s="803"/>
      <c r="F141" s="803"/>
      <c r="G141" s="803"/>
      <c r="H141" s="803"/>
      <c r="I141" s="803"/>
      <c r="J141" s="803"/>
      <c r="K141" s="803"/>
      <c r="L141" s="803"/>
      <c r="M141" s="803"/>
      <c r="N141" s="803"/>
      <c r="O141" s="803"/>
      <c r="P141" s="803"/>
      <c r="Q141" s="803"/>
      <c r="R141" s="803"/>
      <c r="S141" s="803"/>
    </row>
    <row r="142" spans="1:19">
      <c r="A142" s="811"/>
      <c r="B142" s="796"/>
      <c r="C142" s="803"/>
      <c r="D142" s="803"/>
      <c r="E142" s="803"/>
      <c r="F142" s="803"/>
      <c r="G142" s="803"/>
      <c r="H142" s="803"/>
      <c r="I142" s="803"/>
      <c r="J142" s="803"/>
      <c r="K142" s="803"/>
      <c r="L142" s="803"/>
      <c r="M142" s="803"/>
      <c r="N142" s="803"/>
      <c r="O142" s="803"/>
      <c r="P142" s="803"/>
      <c r="Q142" s="803"/>
      <c r="R142" s="803"/>
      <c r="S142" s="803"/>
    </row>
    <row r="143" spans="1:19" ht="13.5" thickBot="1">
      <c r="A143" s="811">
        <v>11</v>
      </c>
      <c r="C143" s="806">
        <f>SUM(C61:C142)</f>
        <v>152570336.17000002</v>
      </c>
      <c r="D143" s="806">
        <f>SUM(D61:D142)</f>
        <v>157335461.88</v>
      </c>
      <c r="E143" s="806">
        <f>SUM(E61:E142)</f>
        <v>-31642982.329999998</v>
      </c>
      <c r="F143" s="806">
        <f>SUM(F61:F142)</f>
        <v>-27536946.680000003</v>
      </c>
      <c r="G143" s="806">
        <f>SUM(G61:G142)</f>
        <v>125362936</v>
      </c>
      <c r="H143" s="809"/>
      <c r="I143" s="806">
        <f>SUM(I61:I142)</f>
        <v>109530582.66500001</v>
      </c>
      <c r="J143" s="806">
        <f>SUM(J61:J142)</f>
        <v>287870.58</v>
      </c>
      <c r="K143" s="806">
        <f>SUM(K61:K142)</f>
        <v>15544481.275</v>
      </c>
      <c r="L143" s="809"/>
      <c r="M143" s="806">
        <f>SUM(M61:M142)</f>
        <v>100754559.72</v>
      </c>
      <c r="N143" s="806">
        <f>SUM(N61:N142)</f>
        <v>340954.8299999999</v>
      </c>
      <c r="O143" s="806">
        <f>SUM(O61:O142)</f>
        <v>19831839.289999999</v>
      </c>
      <c r="P143" s="809"/>
      <c r="Q143" s="806">
        <f>SUM(Q61:Q142)</f>
        <v>118306605.61000001</v>
      </c>
      <c r="R143" s="806">
        <f>SUM(R61:R142)</f>
        <v>234786.33</v>
      </c>
      <c r="S143" s="806">
        <f>SUM(S61:S142)</f>
        <v>11257123.259999998</v>
      </c>
    </row>
    <row r="144" spans="1:19" ht="13.5" thickTop="1">
      <c r="A144" s="811"/>
      <c r="B144" s="796"/>
      <c r="C144" s="807"/>
      <c r="D144" s="807"/>
      <c r="E144" s="807"/>
      <c r="F144" s="807"/>
      <c r="G144" s="807"/>
      <c r="H144" s="803"/>
      <c r="I144" s="807"/>
      <c r="J144" s="807"/>
      <c r="K144" s="807"/>
      <c r="L144" s="803"/>
      <c r="M144" s="807"/>
      <c r="N144" s="807"/>
      <c r="O144" s="807"/>
      <c r="P144" s="803"/>
      <c r="Q144" s="807"/>
      <c r="R144" s="807"/>
      <c r="S144" s="807"/>
    </row>
    <row r="145" spans="1:19">
      <c r="A145" s="811"/>
      <c r="B145" s="796"/>
      <c r="C145" s="803"/>
      <c r="D145" s="803"/>
      <c r="E145" s="803"/>
      <c r="F145" s="803"/>
      <c r="G145" s="803"/>
      <c r="H145" s="803"/>
      <c r="I145" s="803"/>
      <c r="J145" s="803"/>
      <c r="K145" s="803"/>
      <c r="L145" s="803"/>
      <c r="M145" s="803"/>
      <c r="N145" s="803"/>
      <c r="O145" s="803"/>
      <c r="P145" s="803"/>
      <c r="Q145" s="803"/>
      <c r="R145" s="803"/>
      <c r="S145" s="803"/>
    </row>
    <row r="146" spans="1:19">
      <c r="A146" s="811">
        <f>+A143+1</f>
        <v>12</v>
      </c>
      <c r="B146" t="s">
        <v>731</v>
      </c>
      <c r="C146" s="648">
        <f>SUM(M146:O146)</f>
        <v>1243953.17</v>
      </c>
      <c r="D146" s="648">
        <f>SUM(Q146:S146)</f>
        <v>1243953.17</v>
      </c>
      <c r="E146" s="803"/>
      <c r="F146" s="803"/>
      <c r="G146" s="803">
        <f>ROUND(SUM(C146:F146)/2,0)</f>
        <v>1243953</v>
      </c>
      <c r="H146" s="803"/>
      <c r="I146" s="803">
        <f>(M146+Q146)/2</f>
        <v>1243953.17</v>
      </c>
      <c r="J146" s="803">
        <f>(N146+R146)/2</f>
        <v>0</v>
      </c>
      <c r="K146" s="803">
        <f>(O146+S146)/2</f>
        <v>0</v>
      </c>
      <c r="L146" s="803"/>
      <c r="M146" s="648">
        <v>1243953.17</v>
      </c>
      <c r="N146" s="648">
        <v>0</v>
      </c>
      <c r="O146" s="648">
        <v>0</v>
      </c>
      <c r="P146" s="803"/>
      <c r="Q146" s="648">
        <v>1243953.17</v>
      </c>
      <c r="R146" s="648">
        <v>0</v>
      </c>
      <c r="S146" s="648">
        <v>0</v>
      </c>
    </row>
    <row r="147" spans="1:19">
      <c r="A147" s="821">
        <f>A146+0.01</f>
        <v>12.01</v>
      </c>
      <c r="B147" s="648" t="s">
        <v>950</v>
      </c>
      <c r="C147" s="648">
        <f>-E147</f>
        <v>101146636.94</v>
      </c>
      <c r="D147" s="648">
        <f>-F147</f>
        <v>98700837.760000005</v>
      </c>
      <c r="E147" s="803">
        <v>-101146636.94</v>
      </c>
      <c r="F147" s="803">
        <v>-98700837.760000005</v>
      </c>
      <c r="G147" s="803">
        <f>ROUND(SUM(C147:F147)/2,0)</f>
        <v>0</v>
      </c>
      <c r="H147" s="803"/>
      <c r="I147" s="803"/>
      <c r="J147" s="803"/>
      <c r="K147" s="803"/>
      <c r="L147" s="803"/>
      <c r="M147" s="803"/>
      <c r="N147" s="803"/>
      <c r="O147" s="803"/>
      <c r="P147" s="803"/>
      <c r="Q147" s="803"/>
      <c r="R147" s="803"/>
      <c r="S147" s="803"/>
    </row>
    <row r="148" spans="1:19">
      <c r="A148" s="811"/>
      <c r="B148" s="796"/>
      <c r="C148" s="803"/>
      <c r="D148" s="803"/>
      <c r="E148" s="803"/>
      <c r="F148" s="803"/>
      <c r="G148" s="803"/>
      <c r="H148" s="803"/>
      <c r="I148" s="803"/>
      <c r="J148" s="803"/>
      <c r="K148" s="803"/>
      <c r="L148" s="803"/>
      <c r="M148" s="803"/>
      <c r="N148" s="803"/>
      <c r="O148" s="803"/>
      <c r="P148" s="803"/>
      <c r="Q148" s="803"/>
      <c r="R148" s="803"/>
      <c r="S148" s="803"/>
    </row>
    <row r="149" spans="1:19" ht="13.5" thickBot="1">
      <c r="A149" s="811">
        <f>+A146+1</f>
        <v>13</v>
      </c>
      <c r="B149" s="4" t="s">
        <v>732</v>
      </c>
      <c r="C149" s="806">
        <f>SUM(C143:C148)</f>
        <v>254960926.28</v>
      </c>
      <c r="D149" s="806">
        <f>SUM(D143:D148)</f>
        <v>257280252.81</v>
      </c>
      <c r="E149" s="806">
        <f>SUM(E143:E148)</f>
        <v>-132789619.27</v>
      </c>
      <c r="F149" s="806">
        <f>SUM(F143:F148)</f>
        <v>-126237784.44000001</v>
      </c>
      <c r="G149" s="806">
        <f>SUM(G143:G148)</f>
        <v>126606889</v>
      </c>
      <c r="H149" s="803"/>
      <c r="I149" s="806">
        <f>SUM(I143:I148)</f>
        <v>110774535.83500001</v>
      </c>
      <c r="J149" s="806">
        <f>SUM(J143:J148)</f>
        <v>287870.58</v>
      </c>
      <c r="K149" s="806">
        <f>SUM(K143:K148)</f>
        <v>15544481.275</v>
      </c>
      <c r="L149" s="803"/>
      <c r="M149" s="1036">
        <f>SUM(M143:M148)</f>
        <v>101998512.89</v>
      </c>
      <c r="N149" s="1036">
        <f>SUM(N143:N148)</f>
        <v>340954.8299999999</v>
      </c>
      <c r="O149" s="1036">
        <f>SUM(O143:O148)</f>
        <v>19831839.289999999</v>
      </c>
      <c r="P149" s="803"/>
      <c r="Q149" s="806">
        <f>SUM(Q143:Q148)</f>
        <v>119550558.78000002</v>
      </c>
      <c r="R149" s="806">
        <f>SUM(R143:R148)</f>
        <v>234786.33</v>
      </c>
      <c r="S149" s="806">
        <f>SUM(S143:S148)</f>
        <v>11257123.259999998</v>
      </c>
    </row>
    <row r="150" spans="1:19" ht="13.5" thickTop="1">
      <c r="A150" s="811">
        <f>A149+1</f>
        <v>14</v>
      </c>
      <c r="B150" s="20" t="s">
        <v>743</v>
      </c>
      <c r="C150" s="807">
        <f>C126+C74</f>
        <v>34189029.560000002</v>
      </c>
      <c r="D150" s="807">
        <f>D126+D74</f>
        <v>11556091.039999999</v>
      </c>
      <c r="E150" s="807">
        <f>E126+E74</f>
        <v>0</v>
      </c>
      <c r="F150" s="807">
        <f t="shared" ref="F150:G150" si="71">F126+F74</f>
        <v>0</v>
      </c>
      <c r="G150" s="807">
        <f t="shared" si="71"/>
        <v>22872560</v>
      </c>
      <c r="H150" s="803"/>
      <c r="I150" s="807">
        <f>I126+I74</f>
        <v>22872560.300000001</v>
      </c>
      <c r="J150" s="807">
        <f t="shared" ref="J150:K150" si="72">J126+J74</f>
        <v>0</v>
      </c>
      <c r="K150" s="807">
        <f t="shared" si="72"/>
        <v>0</v>
      </c>
      <c r="L150" s="803"/>
      <c r="M150" s="807">
        <f>M126+M74</f>
        <v>34189029.560000002</v>
      </c>
      <c r="N150" s="807">
        <f t="shared" ref="N150:O150" si="73">N126+N74</f>
        <v>0</v>
      </c>
      <c r="O150" s="807">
        <f t="shared" si="73"/>
        <v>0</v>
      </c>
      <c r="P150" s="803"/>
      <c r="Q150" s="807">
        <f>Q126+Q74</f>
        <v>11556091.039999999</v>
      </c>
      <c r="R150" s="807">
        <f t="shared" ref="R150:S150" si="74">R126+R74</f>
        <v>0</v>
      </c>
      <c r="S150" s="807">
        <f t="shared" si="74"/>
        <v>0</v>
      </c>
    </row>
    <row r="151" spans="1:19">
      <c r="A151" s="811"/>
      <c r="B151" s="796"/>
      <c r="C151" s="803"/>
      <c r="D151" s="803"/>
      <c r="E151" s="803"/>
      <c r="F151" s="803"/>
      <c r="G151" s="803"/>
      <c r="H151" s="803"/>
      <c r="I151" s="803"/>
      <c r="J151" s="803"/>
      <c r="K151" s="803"/>
      <c r="L151" s="803"/>
      <c r="M151" s="803"/>
      <c r="N151" s="803"/>
      <c r="O151" s="803"/>
      <c r="P151" s="803"/>
      <c r="Q151" s="803"/>
      <c r="R151" s="803"/>
      <c r="S151" s="803"/>
    </row>
    <row r="152" spans="1:19">
      <c r="A152" s="811">
        <f>+A150+1</f>
        <v>15</v>
      </c>
      <c r="B152" t="s">
        <v>733</v>
      </c>
      <c r="C152" s="803"/>
      <c r="D152" s="803"/>
      <c r="E152" s="803"/>
      <c r="F152" s="803"/>
      <c r="G152" s="803"/>
      <c r="H152" s="803"/>
      <c r="I152" s="803"/>
      <c r="J152" s="803"/>
      <c r="K152" s="803"/>
      <c r="L152" s="803"/>
      <c r="M152" s="803"/>
      <c r="N152" s="803"/>
      <c r="O152" s="803"/>
      <c r="P152" s="803"/>
      <c r="Q152" s="803"/>
      <c r="R152" s="803"/>
      <c r="S152" s="803"/>
    </row>
    <row r="153" spans="1:19">
      <c r="A153" s="811"/>
      <c r="B153" s="796"/>
      <c r="C153" s="803"/>
      <c r="D153" s="803"/>
      <c r="E153" s="803"/>
      <c r="F153" s="803"/>
      <c r="G153" s="803"/>
      <c r="H153" s="803"/>
      <c r="I153" s="803"/>
      <c r="J153" s="803"/>
      <c r="K153" s="803"/>
      <c r="L153" s="803"/>
      <c r="M153" s="803"/>
      <c r="N153" s="803"/>
      <c r="O153" s="803"/>
      <c r="P153" s="803"/>
      <c r="Q153" s="803"/>
      <c r="R153" s="803"/>
      <c r="S153" s="803"/>
    </row>
    <row r="154" spans="1:19">
      <c r="A154" s="811">
        <f>+A152+1</f>
        <v>16</v>
      </c>
      <c r="B154" t="s">
        <v>734</v>
      </c>
      <c r="C154" s="803"/>
      <c r="D154" s="803"/>
      <c r="E154" s="803"/>
      <c r="F154" s="803"/>
      <c r="G154" s="803"/>
      <c r="H154" s="803"/>
      <c r="I154" s="803"/>
      <c r="J154" s="803"/>
      <c r="K154" s="803"/>
      <c r="L154" s="803"/>
      <c r="M154" s="803"/>
      <c r="N154" s="803"/>
      <c r="O154" s="803"/>
      <c r="P154" s="803"/>
      <c r="Q154" s="803"/>
      <c r="R154" s="803"/>
      <c r="S154" s="803"/>
    </row>
    <row r="155" spans="1:19">
      <c r="A155" s="811"/>
      <c r="B155" s="796"/>
      <c r="C155" s="803"/>
      <c r="D155" s="809"/>
      <c r="E155" s="809"/>
      <c r="F155" s="809"/>
      <c r="G155" s="809"/>
      <c r="H155" s="809"/>
      <c r="I155" s="809"/>
      <c r="J155" s="809"/>
      <c r="K155" s="809"/>
      <c r="L155" s="809"/>
      <c r="M155" s="803"/>
      <c r="N155" s="803"/>
      <c r="O155" s="803"/>
      <c r="P155" s="803"/>
      <c r="Q155" s="803"/>
      <c r="R155" s="803"/>
      <c r="S155" s="803"/>
    </row>
    <row r="156" spans="1:19">
      <c r="A156" s="811">
        <f>+A154+1</f>
        <v>17</v>
      </c>
      <c r="B156" t="s">
        <v>735</v>
      </c>
      <c r="C156" s="803"/>
      <c r="D156" s="809"/>
      <c r="E156" s="809"/>
      <c r="F156" s="809"/>
      <c r="G156" s="809"/>
      <c r="H156" s="809"/>
      <c r="I156" s="809"/>
      <c r="J156" s="809"/>
      <c r="K156" s="809"/>
      <c r="L156" s="809"/>
      <c r="M156" s="803"/>
      <c r="N156" s="803"/>
      <c r="O156" s="803"/>
      <c r="P156" s="803"/>
      <c r="Q156" s="803"/>
      <c r="R156" s="803"/>
      <c r="S156" s="803"/>
    </row>
    <row r="157" spans="1:19">
      <c r="A157" s="811"/>
      <c r="B157" s="796"/>
      <c r="C157" s="803"/>
      <c r="D157" s="803"/>
      <c r="E157" s="803"/>
      <c r="F157" s="803"/>
      <c r="G157" s="803"/>
      <c r="H157" s="803"/>
      <c r="I157" s="803"/>
      <c r="J157" s="803"/>
      <c r="K157" s="803"/>
      <c r="L157" s="803"/>
      <c r="M157" s="803"/>
      <c r="N157" s="803"/>
      <c r="O157" s="803"/>
      <c r="P157" s="803"/>
      <c r="Q157" s="803"/>
      <c r="R157" s="803"/>
      <c r="S157" s="803"/>
    </row>
    <row r="158" spans="1:19">
      <c r="A158" s="811">
        <f>+A156+1</f>
        <v>18</v>
      </c>
      <c r="B158" t="s">
        <v>736</v>
      </c>
      <c r="C158" s="803"/>
      <c r="D158" s="803"/>
      <c r="E158" s="803"/>
      <c r="F158" s="803"/>
      <c r="G158" s="803"/>
      <c r="H158" s="803"/>
      <c r="I158" s="803"/>
      <c r="J158" s="803"/>
      <c r="K158" s="803"/>
      <c r="L158" s="803"/>
      <c r="M158" s="803"/>
      <c r="N158" s="803"/>
      <c r="O158" s="803"/>
      <c r="P158" s="803"/>
      <c r="Q158" s="803"/>
      <c r="R158" s="803"/>
      <c r="S158" s="803"/>
    </row>
    <row r="159" spans="1:19">
      <c r="A159" s="811">
        <f>A158+1</f>
        <v>19</v>
      </c>
      <c r="B159" t="s">
        <v>737</v>
      </c>
      <c r="C159" s="803"/>
      <c r="D159" s="803"/>
      <c r="E159" s="803"/>
      <c r="F159" s="803"/>
      <c r="G159" s="803"/>
      <c r="H159" s="803"/>
      <c r="I159" s="803"/>
      <c r="J159" s="803"/>
      <c r="K159" s="803"/>
      <c r="L159" s="803"/>
      <c r="M159" s="803"/>
      <c r="N159" s="803"/>
      <c r="O159" s="803"/>
      <c r="P159" s="803"/>
      <c r="Q159" s="1053"/>
      <c r="R159" s="803"/>
      <c r="S159" s="803"/>
    </row>
    <row r="160" spans="1:19">
      <c r="A160" s="821">
        <f>A159+0.01</f>
        <v>19.010000000000002</v>
      </c>
      <c r="B160" s="648" t="s">
        <v>1073</v>
      </c>
      <c r="C160" s="803">
        <f>SUM(M160:O160)</f>
        <v>0</v>
      </c>
      <c r="D160" s="803">
        <f>SUM(Q160:S160)</f>
        <v>0</v>
      </c>
      <c r="E160" s="803"/>
      <c r="F160" s="803"/>
      <c r="G160" s="803">
        <f>ROUND(SUM(C160:F160)/2,0)</f>
        <v>0</v>
      </c>
      <c r="H160" s="803"/>
      <c r="I160" s="803">
        <f t="shared" ref="I160:K161" si="75">(M160+Q160)/2</f>
        <v>0</v>
      </c>
      <c r="J160" s="803">
        <f t="shared" si="75"/>
        <v>0</v>
      </c>
      <c r="K160" s="803">
        <f t="shared" si="75"/>
        <v>0</v>
      </c>
      <c r="L160" s="803"/>
      <c r="M160" s="648">
        <v>0</v>
      </c>
      <c r="N160" s="648"/>
      <c r="O160" s="648"/>
      <c r="P160" s="803"/>
      <c r="Q160" s="648">
        <v>0</v>
      </c>
      <c r="R160" s="648"/>
      <c r="S160" s="648"/>
    </row>
    <row r="161" spans="1:19">
      <c r="A161" s="821">
        <f>A160+0.01</f>
        <v>19.020000000000003</v>
      </c>
      <c r="B161" s="648"/>
      <c r="C161" s="803">
        <f>SUM(M161:O161)</f>
        <v>0</v>
      </c>
      <c r="D161" s="803">
        <f>SUM(Q161:S161)</f>
        <v>0</v>
      </c>
      <c r="E161" s="803"/>
      <c r="F161" s="803"/>
      <c r="G161" s="803">
        <f>ROUND(SUM(C161:F161)/2,0)</f>
        <v>0</v>
      </c>
      <c r="H161" s="803"/>
      <c r="I161" s="803">
        <f t="shared" si="75"/>
        <v>0</v>
      </c>
      <c r="J161" s="803">
        <f t="shared" si="75"/>
        <v>0</v>
      </c>
      <c r="K161" s="803">
        <f t="shared" si="75"/>
        <v>0</v>
      </c>
      <c r="L161" s="803"/>
      <c r="M161" s="648"/>
      <c r="N161" s="648"/>
      <c r="O161" s="648"/>
      <c r="P161" s="803"/>
      <c r="Q161" s="648"/>
      <c r="R161" s="648"/>
      <c r="S161" s="648"/>
    </row>
    <row r="162" spans="1:19">
      <c r="A162" s="811">
        <f>INT(A161)+1</f>
        <v>20</v>
      </c>
      <c r="C162" s="803"/>
      <c r="D162" s="803"/>
      <c r="E162" s="803"/>
      <c r="F162" s="803"/>
      <c r="G162" s="803"/>
      <c r="H162" s="803"/>
      <c r="I162" s="803"/>
      <c r="J162" s="803"/>
      <c r="K162" s="803"/>
      <c r="L162" s="803"/>
      <c r="M162" s="803"/>
      <c r="N162" s="803"/>
      <c r="O162" s="803"/>
      <c r="P162" s="803"/>
      <c r="Q162" s="803"/>
      <c r="R162" s="803"/>
      <c r="S162" s="803"/>
    </row>
    <row r="163" spans="1:19">
      <c r="A163" s="811">
        <f>A162+1</f>
        <v>21</v>
      </c>
      <c r="B163" t="s">
        <v>738</v>
      </c>
      <c r="C163" s="806">
        <f>SUM(C160:C162)</f>
        <v>0</v>
      </c>
      <c r="D163" s="806">
        <f>SUM(D160:D162)</f>
        <v>0</v>
      </c>
      <c r="E163" s="806">
        <f>SUM(E160:E162)</f>
        <v>0</v>
      </c>
      <c r="F163" s="806">
        <f>SUM(F160:F162)</f>
        <v>0</v>
      </c>
      <c r="G163" s="806">
        <f>SUM(G160:G162)</f>
        <v>0</v>
      </c>
      <c r="H163" s="803"/>
      <c r="I163" s="806">
        <f>SUM(I160:I162)</f>
        <v>0</v>
      </c>
      <c r="J163" s="806">
        <f>SUM(J160:J162)</f>
        <v>0</v>
      </c>
      <c r="K163" s="806">
        <f>SUM(K160:K162)</f>
        <v>0</v>
      </c>
      <c r="L163" s="803"/>
      <c r="M163" s="806">
        <f>SUM(M160:M162)</f>
        <v>0</v>
      </c>
      <c r="N163" s="806">
        <f>SUM(N160:N162)</f>
        <v>0</v>
      </c>
      <c r="O163" s="806">
        <f>SUM(O160:O162)</f>
        <v>0</v>
      </c>
      <c r="P163" s="803"/>
      <c r="Q163" s="806">
        <f>SUM(Q160:Q162)</f>
        <v>0</v>
      </c>
      <c r="R163" s="806">
        <f>SUM(R160:R162)</f>
        <v>0</v>
      </c>
      <c r="S163" s="806">
        <f>SUM(S160:S162)</f>
        <v>0</v>
      </c>
    </row>
  </sheetData>
  <pageMargins left="0.7" right="0.7" top="0.75" bottom="0.75" header="0.3" footer="0.3"/>
  <pageSetup scale="2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V126"/>
  <sheetViews>
    <sheetView tabSelected="1" view="pageBreakPreview" topLeftCell="A52" zoomScale="85" zoomScaleNormal="60" zoomScaleSheetLayoutView="85" workbookViewId="0">
      <selection activeCell="D9" sqref="D9"/>
    </sheetView>
  </sheetViews>
  <sheetFormatPr defaultRowHeight="12.75"/>
  <cols>
    <col min="1" max="1" width="6" customWidth="1"/>
    <col min="2" max="2" width="54.5703125" bestFit="1" customWidth="1"/>
    <col min="3" max="3" width="13.42578125" bestFit="1" customWidth="1"/>
    <col min="4" max="4" width="12.85546875" bestFit="1" customWidth="1"/>
    <col min="5" max="6" width="17" customWidth="1"/>
    <col min="7" max="7" width="15.42578125" bestFit="1" customWidth="1"/>
    <col min="9" max="9" width="13.140625" bestFit="1" customWidth="1"/>
    <col min="10" max="10" width="15" bestFit="1" customWidth="1"/>
    <col min="11" max="11" width="13.5703125" bestFit="1" customWidth="1"/>
    <col min="13" max="13" width="13.140625" bestFit="1" customWidth="1"/>
    <col min="14" max="14" width="15" bestFit="1" customWidth="1"/>
    <col min="15" max="15" width="13.5703125" bestFit="1" customWidth="1"/>
    <col min="17" max="17" width="13.140625" bestFit="1" customWidth="1"/>
    <col min="18" max="18" width="15" bestFit="1" customWidth="1"/>
    <col min="19" max="19" width="13.5703125" bestFit="1" customWidth="1"/>
  </cols>
  <sheetData>
    <row r="1" spans="1:19">
      <c r="A1" s="812"/>
      <c r="B1" s="853" t="str">
        <f>TCOS!F9</f>
        <v>KENTUCKY POWER COMPANY</v>
      </c>
      <c r="C1" s="796"/>
      <c r="D1" s="796"/>
      <c r="E1" s="796"/>
      <c r="F1" s="796"/>
      <c r="M1" s="796"/>
      <c r="N1" s="796"/>
      <c r="P1" s="796"/>
      <c r="Q1" s="796"/>
      <c r="R1" s="796"/>
    </row>
    <row r="2" spans="1:19">
      <c r="A2" s="812"/>
      <c r="B2" s="177" t="s">
        <v>822</v>
      </c>
      <c r="C2" s="796"/>
      <c r="D2" s="796"/>
      <c r="E2" s="796"/>
      <c r="F2" s="796"/>
      <c r="M2" s="796"/>
      <c r="N2" s="796"/>
      <c r="P2" s="796"/>
      <c r="Q2" s="796"/>
      <c r="R2" s="796"/>
    </row>
    <row r="3" spans="1:19">
      <c r="A3" s="812"/>
      <c r="B3" s="177" t="str">
        <f>"PERIOD ENDED DECEMBER 31, "&amp;TCOS!L4</f>
        <v>PERIOD ENDED DECEMBER 31, 2025</v>
      </c>
      <c r="C3" s="796"/>
      <c r="D3" s="796"/>
      <c r="E3" s="796"/>
      <c r="F3" s="796"/>
      <c r="G3" s="796"/>
      <c r="H3" s="796"/>
      <c r="I3" s="796"/>
      <c r="J3" s="796"/>
      <c r="K3" s="796"/>
      <c r="L3" s="796"/>
      <c r="M3" s="796"/>
      <c r="N3" s="796"/>
      <c r="O3" s="796"/>
      <c r="P3" s="796"/>
      <c r="Q3" s="796"/>
      <c r="R3" s="796"/>
      <c r="S3" s="796"/>
    </row>
    <row r="4" spans="1:19">
      <c r="A4" s="812"/>
      <c r="B4" s="802"/>
      <c r="C4" s="796"/>
      <c r="D4" s="796"/>
      <c r="E4" s="796"/>
      <c r="F4" s="796"/>
      <c r="G4" s="1" t="s">
        <v>739</v>
      </c>
      <c r="H4" s="796"/>
      <c r="I4" s="796"/>
      <c r="J4" s="796"/>
      <c r="K4" s="796"/>
      <c r="L4" s="796"/>
      <c r="M4" s="796"/>
      <c r="N4" s="796"/>
      <c r="O4" s="796"/>
      <c r="P4" s="796"/>
      <c r="Q4" s="796"/>
      <c r="R4" s="796"/>
      <c r="S4" s="796"/>
    </row>
    <row r="5" spans="1:19">
      <c r="A5" s="812"/>
      <c r="B5" s="796"/>
      <c r="C5" s="796"/>
      <c r="D5" s="796"/>
      <c r="E5" s="796"/>
      <c r="F5" s="796"/>
      <c r="G5" s="796"/>
      <c r="H5" s="796"/>
      <c r="I5" s="796"/>
      <c r="J5" s="796"/>
      <c r="K5" s="796"/>
      <c r="L5" s="796"/>
      <c r="M5" s="796"/>
      <c r="N5" s="796"/>
      <c r="O5" s="796"/>
      <c r="P5" s="796"/>
      <c r="Q5" s="796"/>
      <c r="R5" s="796"/>
      <c r="S5" s="796"/>
    </row>
    <row r="6" spans="1:19">
      <c r="A6" s="812"/>
      <c r="B6" s="796"/>
      <c r="C6" s="796"/>
      <c r="D6" s="796"/>
      <c r="E6" s="796"/>
      <c r="F6" s="796"/>
      <c r="G6" s="796"/>
      <c r="H6" s="1"/>
      <c r="I6" s="1"/>
      <c r="J6" s="1"/>
      <c r="K6" s="1"/>
      <c r="L6" s="1"/>
      <c r="M6" s="796"/>
      <c r="N6" s="796"/>
      <c r="O6" s="796"/>
      <c r="P6" s="796"/>
      <c r="Q6" s="796"/>
      <c r="R6" s="796"/>
      <c r="S6" s="796"/>
    </row>
    <row r="7" spans="1:19">
      <c r="A7" s="812"/>
      <c r="B7" s="796"/>
      <c r="C7" s="796"/>
      <c r="D7" s="796"/>
      <c r="E7" s="796"/>
      <c r="F7" s="796"/>
      <c r="G7" s="796"/>
      <c r="H7" s="796"/>
      <c r="I7" s="796"/>
      <c r="J7" s="796"/>
      <c r="K7" s="796"/>
      <c r="L7" s="796"/>
      <c r="M7" s="796"/>
      <c r="N7" s="796"/>
      <c r="O7" s="796"/>
      <c r="P7" s="796"/>
      <c r="Q7" s="796"/>
      <c r="R7" s="796"/>
      <c r="S7" s="796"/>
    </row>
    <row r="8" spans="1:19">
      <c r="A8" s="812"/>
      <c r="B8" s="797" t="s">
        <v>699</v>
      </c>
      <c r="C8" s="797" t="s">
        <v>700</v>
      </c>
      <c r="D8" s="797" t="s">
        <v>701</v>
      </c>
      <c r="E8" s="797" t="s">
        <v>702</v>
      </c>
      <c r="F8" s="797" t="s">
        <v>703</v>
      </c>
      <c r="G8" s="797" t="s">
        <v>704</v>
      </c>
      <c r="H8" s="797"/>
      <c r="I8" s="797" t="s">
        <v>705</v>
      </c>
      <c r="J8" s="797" t="s">
        <v>706</v>
      </c>
      <c r="K8" s="797" t="s">
        <v>707</v>
      </c>
      <c r="L8" s="797"/>
      <c r="M8" s="797" t="s">
        <v>708</v>
      </c>
      <c r="N8" s="797" t="s">
        <v>709</v>
      </c>
      <c r="O8" s="797" t="s">
        <v>710</v>
      </c>
      <c r="P8" s="796"/>
      <c r="Q8" s="797" t="s">
        <v>711</v>
      </c>
      <c r="R8" s="797" t="s">
        <v>712</v>
      </c>
      <c r="S8" s="797" t="s">
        <v>713</v>
      </c>
    </row>
    <row r="9" spans="1:19">
      <c r="A9" s="812"/>
      <c r="B9" s="796"/>
      <c r="C9" s="796"/>
      <c r="D9" s="796"/>
      <c r="E9" s="796"/>
      <c r="F9" s="796"/>
      <c r="G9" s="796"/>
      <c r="H9" s="796"/>
      <c r="I9" s="796"/>
      <c r="J9" s="796"/>
      <c r="K9" s="796"/>
      <c r="L9" s="796"/>
      <c r="M9" s="796"/>
      <c r="N9" s="796"/>
      <c r="O9" s="796"/>
      <c r="P9" s="796"/>
      <c r="Q9" s="796"/>
      <c r="R9" s="796"/>
      <c r="S9" s="796"/>
    </row>
    <row r="10" spans="1:19">
      <c r="A10" s="812"/>
      <c r="B10" s="796"/>
      <c r="C10" s="798" t="s">
        <v>714</v>
      </c>
      <c r="D10" s="798"/>
      <c r="E10" s="799" t="s">
        <v>715</v>
      </c>
      <c r="F10" s="798"/>
      <c r="G10" s="1" t="s">
        <v>716</v>
      </c>
      <c r="H10" s="1"/>
      <c r="I10" s="798" t="s">
        <v>717</v>
      </c>
      <c r="J10" s="798"/>
      <c r="K10" s="798"/>
      <c r="L10" s="1"/>
      <c r="M10" s="800" t="str">
        <f>"FUNCTIONALIZATION 12/31/"&amp;TCOS!L4-1</f>
        <v>FUNCTIONALIZATION 12/31/2024</v>
      </c>
      <c r="N10" s="798"/>
      <c r="O10" s="798"/>
      <c r="P10" s="796"/>
      <c r="Q10" s="800" t="str">
        <f>"FUNCTIONALIZATION 12/31/"&amp;TCOS!L4</f>
        <v>FUNCTIONALIZATION 12/31/2025</v>
      </c>
      <c r="R10" s="798"/>
      <c r="S10" s="798"/>
    </row>
    <row r="11" spans="1:19">
      <c r="A11" s="812"/>
      <c r="B11" s="796"/>
      <c r="C11" s="801"/>
      <c r="D11" s="801"/>
      <c r="E11" s="796"/>
      <c r="F11" s="796"/>
      <c r="G11" s="1" t="s">
        <v>718</v>
      </c>
      <c r="H11" s="1"/>
      <c r="I11" s="801"/>
      <c r="J11" s="801"/>
      <c r="K11" s="801"/>
      <c r="L11" s="1"/>
      <c r="M11" s="801"/>
      <c r="N11" s="801"/>
      <c r="O11" s="801"/>
      <c r="P11" s="796"/>
      <c r="Q11" s="801"/>
      <c r="R11" s="801"/>
      <c r="S11" s="801"/>
    </row>
    <row r="12" spans="1:19">
      <c r="A12" s="812"/>
      <c r="B12" s="796"/>
      <c r="C12" s="1" t="s">
        <v>719</v>
      </c>
      <c r="D12" s="1" t="s">
        <v>719</v>
      </c>
      <c r="E12" s="1" t="s">
        <v>719</v>
      </c>
      <c r="F12" s="1" t="s">
        <v>719</v>
      </c>
      <c r="G12" s="1" t="s">
        <v>720</v>
      </c>
      <c r="H12" s="1"/>
      <c r="I12" s="796"/>
      <c r="J12" s="796"/>
      <c r="K12" s="796"/>
      <c r="L12" s="1"/>
      <c r="M12" s="796"/>
      <c r="N12" s="796"/>
      <c r="O12" s="796"/>
      <c r="P12" s="796"/>
      <c r="Q12" s="796"/>
      <c r="R12" s="796"/>
      <c r="S12" s="796"/>
    </row>
    <row r="13" spans="1:19">
      <c r="A13" s="812"/>
      <c r="B13" s="797" t="s">
        <v>721</v>
      </c>
      <c r="C13" s="797" t="str">
        <f>"OF 12-31-"&amp;TCOS!L4-1</f>
        <v>OF 12-31-2024</v>
      </c>
      <c r="D13" s="797" t="str">
        <f>"OF 12-31-"&amp;TCOS!L4</f>
        <v>OF 12-31-2025</v>
      </c>
      <c r="E13" s="797" t="str">
        <f>"OF 12-31-"&amp;TCOS!L4-1</f>
        <v>OF 12-31-2024</v>
      </c>
      <c r="F13" s="797" t="str">
        <f>"OF 12-31-"&amp;TCOS!L4</f>
        <v>OF 12-31-2025</v>
      </c>
      <c r="G13" s="797" t="s">
        <v>722</v>
      </c>
      <c r="H13" s="797"/>
      <c r="I13" s="797" t="s">
        <v>723</v>
      </c>
      <c r="J13" s="797" t="s">
        <v>724</v>
      </c>
      <c r="K13" s="797" t="s">
        <v>725</v>
      </c>
      <c r="L13" s="797"/>
      <c r="M13" s="797" t="s">
        <v>723</v>
      </c>
      <c r="N13" s="797" t="s">
        <v>724</v>
      </c>
      <c r="O13" s="797" t="s">
        <v>725</v>
      </c>
      <c r="P13" s="796"/>
      <c r="Q13" s="797" t="s">
        <v>723</v>
      </c>
      <c r="R13" s="797" t="s">
        <v>724</v>
      </c>
      <c r="S13" s="797" t="s">
        <v>725</v>
      </c>
    </row>
    <row r="14" spans="1:19">
      <c r="A14" s="812"/>
      <c r="B14" s="796"/>
      <c r="C14" s="796"/>
      <c r="D14" s="796"/>
      <c r="E14" s="796"/>
      <c r="F14" s="796"/>
      <c r="G14" s="796"/>
      <c r="H14" s="796"/>
      <c r="I14" s="796"/>
      <c r="J14" s="796"/>
      <c r="K14" s="796"/>
      <c r="L14" s="796"/>
      <c r="M14" s="796"/>
      <c r="N14" s="796"/>
      <c r="O14" s="796"/>
      <c r="P14" s="796"/>
      <c r="Q14" s="796"/>
      <c r="R14" s="796"/>
      <c r="S14" s="796"/>
    </row>
    <row r="15" spans="1:19">
      <c r="A15" s="143">
        <v>1</v>
      </c>
      <c r="B15" s="803" t="s">
        <v>740</v>
      </c>
      <c r="C15" s="803"/>
      <c r="D15" s="803"/>
      <c r="E15" s="803"/>
      <c r="F15" s="804"/>
      <c r="G15" s="803"/>
      <c r="H15" s="803"/>
      <c r="I15" s="803"/>
      <c r="J15" s="803"/>
      <c r="K15" s="803"/>
      <c r="L15" s="803"/>
      <c r="M15" s="803"/>
      <c r="N15" s="803"/>
      <c r="O15" s="803"/>
      <c r="P15" s="803"/>
      <c r="Q15" s="803"/>
      <c r="R15" s="803"/>
      <c r="S15" s="803"/>
    </row>
    <row r="16" spans="1:19">
      <c r="A16" s="143"/>
      <c r="B16" s="803"/>
      <c r="C16" s="803"/>
      <c r="D16" s="803"/>
      <c r="E16" s="803"/>
      <c r="F16" s="803"/>
      <c r="G16" s="803"/>
      <c r="H16" s="803"/>
      <c r="I16" s="803"/>
      <c r="J16" s="803"/>
      <c r="K16" s="803"/>
      <c r="L16" s="803"/>
      <c r="M16" s="803"/>
      <c r="N16" s="803"/>
      <c r="O16" s="803"/>
      <c r="P16" s="803"/>
      <c r="Q16" s="803"/>
      <c r="R16" s="803"/>
      <c r="S16" s="803"/>
    </row>
    <row r="17" spans="1:19">
      <c r="A17" s="821">
        <f>2+0.01</f>
        <v>2.0099999999999998</v>
      </c>
      <c r="B17" s="648" t="s">
        <v>1370</v>
      </c>
      <c r="C17" s="648">
        <f t="shared" ref="C17:C79" si="0">SUM(M17:O17)</f>
        <v>0</v>
      </c>
      <c r="D17" s="648">
        <f t="shared" ref="D17:D79" si="1">SUM(Q17:S17)</f>
        <v>4062977</v>
      </c>
      <c r="E17" s="803"/>
      <c r="F17" s="803"/>
      <c r="G17" s="803">
        <f t="shared" ref="G17:G79" si="2">ROUND(SUM(C17:F17)/2,0)</f>
        <v>2031489</v>
      </c>
      <c r="H17" s="803"/>
      <c r="I17" s="803">
        <f t="shared" ref="I17:I79" si="3">(M17+Q17)/2</f>
        <v>43855.5</v>
      </c>
      <c r="J17" s="803">
        <f t="shared" ref="J17:J79" si="4">(N17+R17)/2</f>
        <v>1959051</v>
      </c>
      <c r="K17" s="803">
        <f t="shared" ref="K17:K79" si="5">(O17+S17)/2</f>
        <v>28582</v>
      </c>
      <c r="L17" s="803"/>
      <c r="M17" s="648"/>
      <c r="N17" s="648"/>
      <c r="O17" s="648"/>
      <c r="P17" s="803"/>
      <c r="Q17" s="648">
        <v>87711</v>
      </c>
      <c r="R17" s="648">
        <v>3918102</v>
      </c>
      <c r="S17" s="648">
        <v>57164</v>
      </c>
    </row>
    <row r="18" spans="1:19">
      <c r="A18" s="821">
        <f>A17+0.01</f>
        <v>2.0199999999999996</v>
      </c>
      <c r="B18" s="648" t="s">
        <v>1371</v>
      </c>
      <c r="C18" s="648">
        <f t="shared" ref="C18" si="6">SUM(M18:O18)</f>
        <v>0</v>
      </c>
      <c r="D18" s="648">
        <f t="shared" ref="D18" si="7">SUM(Q18:S18)</f>
        <v>182556</v>
      </c>
      <c r="E18" s="803"/>
      <c r="F18" s="803"/>
      <c r="G18" s="803">
        <f t="shared" ref="G18" si="8">ROUND(SUM(C18:F18)/2,0)</f>
        <v>91278</v>
      </c>
      <c r="H18" s="803"/>
      <c r="I18" s="803">
        <f t="shared" ref="I18" si="9">(M18+Q18)/2</f>
        <v>0</v>
      </c>
      <c r="J18" s="803">
        <f t="shared" ref="J18" si="10">(N18+R18)/2</f>
        <v>91278</v>
      </c>
      <c r="K18" s="803">
        <f t="shared" ref="K18" si="11">(O18+S18)/2</f>
        <v>0</v>
      </c>
      <c r="L18" s="803"/>
      <c r="M18" s="648"/>
      <c r="N18" s="648"/>
      <c r="O18" s="648"/>
      <c r="P18" s="803"/>
      <c r="Q18" s="648"/>
      <c r="R18" s="648">
        <v>182556</v>
      </c>
      <c r="S18" s="648"/>
    </row>
    <row r="19" spans="1:19">
      <c r="A19" s="821">
        <f t="shared" ref="A19:A48" si="12">A18+0.01</f>
        <v>2.0299999999999994</v>
      </c>
      <c r="B19" s="648" t="s">
        <v>1166</v>
      </c>
      <c r="C19" s="648">
        <f t="shared" ref="C19" si="13">SUM(M19:O19)</f>
        <v>10834.25</v>
      </c>
      <c r="D19" s="648">
        <f t="shared" ref="D19" si="14">SUM(Q19:S19)</f>
        <v>0.16</v>
      </c>
      <c r="E19" s="803"/>
      <c r="F19" s="803"/>
      <c r="G19" s="803">
        <f t="shared" ref="G19" si="15">ROUND(SUM(C19:F19)/2,0)</f>
        <v>5417</v>
      </c>
      <c r="H19" s="803"/>
      <c r="I19" s="803">
        <f t="shared" ref="I19" si="16">(M19+Q19)/2</f>
        <v>3544.59</v>
      </c>
      <c r="J19" s="803">
        <f t="shared" ref="J19" si="17">(N19+R19)/2</f>
        <v>0.24</v>
      </c>
      <c r="K19" s="803">
        <f t="shared" ref="K19" si="18">(O19+S19)/2</f>
        <v>1872.375</v>
      </c>
      <c r="L19" s="803"/>
      <c r="M19" s="648">
        <v>7089.18</v>
      </c>
      <c r="N19" s="648">
        <v>0.32</v>
      </c>
      <c r="O19" s="648">
        <v>3744.75</v>
      </c>
      <c r="P19" s="803"/>
      <c r="Q19" s="648">
        <v>0</v>
      </c>
      <c r="R19" s="648">
        <v>0.16</v>
      </c>
      <c r="S19" s="648"/>
    </row>
    <row r="20" spans="1:19">
      <c r="A20" s="821">
        <f t="shared" si="12"/>
        <v>2.0399999999999991</v>
      </c>
      <c r="B20" s="648" t="s">
        <v>1167</v>
      </c>
      <c r="C20" s="648">
        <f t="shared" si="0"/>
        <v>3018755.83</v>
      </c>
      <c r="D20" s="648">
        <f t="shared" si="1"/>
        <v>3450069.72</v>
      </c>
      <c r="E20" s="803"/>
      <c r="F20" s="803"/>
      <c r="G20" s="803">
        <f t="shared" si="2"/>
        <v>3234413</v>
      </c>
      <c r="H20" s="803"/>
      <c r="I20" s="803">
        <f t="shared" si="3"/>
        <v>1298291.06</v>
      </c>
      <c r="J20" s="803">
        <f t="shared" si="4"/>
        <v>745779.47</v>
      </c>
      <c r="K20" s="803">
        <f t="shared" si="5"/>
        <v>1190342.2450000001</v>
      </c>
      <c r="L20" s="803"/>
      <c r="M20" s="648">
        <v>1223101.26</v>
      </c>
      <c r="N20" s="648">
        <v>688742.99</v>
      </c>
      <c r="O20" s="648">
        <v>1106911.58</v>
      </c>
      <c r="P20" s="803"/>
      <c r="Q20" s="648">
        <v>1373480.8599999999</v>
      </c>
      <c r="R20" s="648">
        <v>802815.95000000007</v>
      </c>
      <c r="S20" s="648">
        <v>1273772.9100000001</v>
      </c>
    </row>
    <row r="21" spans="1:19">
      <c r="A21" s="821">
        <f t="shared" si="12"/>
        <v>2.0499999999999989</v>
      </c>
      <c r="B21" s="648" t="s">
        <v>1168</v>
      </c>
      <c r="C21" s="648">
        <f t="shared" si="0"/>
        <v>0</v>
      </c>
      <c r="D21" s="648">
        <f t="shared" si="1"/>
        <v>0</v>
      </c>
      <c r="E21" s="803"/>
      <c r="F21" s="803"/>
      <c r="G21" s="803">
        <f t="shared" si="2"/>
        <v>0</v>
      </c>
      <c r="H21" s="803"/>
      <c r="I21" s="803">
        <f t="shared" si="3"/>
        <v>0</v>
      </c>
      <c r="J21" s="803">
        <f t="shared" si="4"/>
        <v>0</v>
      </c>
      <c r="K21" s="803">
        <f t="shared" si="5"/>
        <v>0</v>
      </c>
      <c r="L21" s="803"/>
      <c r="M21" s="648">
        <v>0</v>
      </c>
      <c r="N21" s="648">
        <v>0</v>
      </c>
      <c r="O21" s="648">
        <v>0</v>
      </c>
      <c r="P21" s="803"/>
      <c r="Q21" s="648"/>
      <c r="R21" s="648"/>
      <c r="S21" s="648"/>
    </row>
    <row r="22" spans="1:19">
      <c r="A22" s="821">
        <f t="shared" si="12"/>
        <v>2.0599999999999987</v>
      </c>
      <c r="B22" s="648" t="s">
        <v>1211</v>
      </c>
      <c r="C22" s="648">
        <f t="shared" ref="C22" si="19">SUM(M22:O22)</f>
        <v>0</v>
      </c>
      <c r="D22" s="648">
        <f t="shared" ref="D22" si="20">SUM(Q22:S22)</f>
        <v>261230.16</v>
      </c>
      <c r="E22" s="803"/>
      <c r="F22" s="803"/>
      <c r="G22" s="803">
        <f t="shared" ref="G22" si="21">ROUND(SUM(C22:F22)/2,0)</f>
        <v>130615</v>
      </c>
      <c r="H22" s="803"/>
      <c r="I22" s="803">
        <f t="shared" ref="I22" si="22">(M22+Q22)/2</f>
        <v>130615.08</v>
      </c>
      <c r="J22" s="803">
        <f t="shared" ref="J22" si="23">(N22+R22)/2</f>
        <v>0</v>
      </c>
      <c r="K22" s="803">
        <f t="shared" ref="K22" si="24">(O22+S22)/2</f>
        <v>0</v>
      </c>
      <c r="L22" s="803"/>
      <c r="M22" s="648"/>
      <c r="N22" s="648"/>
      <c r="O22" s="648"/>
      <c r="P22" s="803"/>
      <c r="Q22" s="648">
        <v>261230.16</v>
      </c>
      <c r="R22" s="648"/>
      <c r="S22" s="648"/>
    </row>
    <row r="23" spans="1:19">
      <c r="A23" s="821">
        <f t="shared" si="12"/>
        <v>2.0699999999999985</v>
      </c>
      <c r="B23" s="648" t="s">
        <v>1169</v>
      </c>
      <c r="C23" s="648">
        <f t="shared" si="0"/>
        <v>542022.23</v>
      </c>
      <c r="D23" s="648">
        <f t="shared" si="1"/>
        <v>455458.87</v>
      </c>
      <c r="E23" s="803"/>
      <c r="F23" s="803"/>
      <c r="G23" s="803">
        <f t="shared" si="2"/>
        <v>498741</v>
      </c>
      <c r="H23" s="803"/>
      <c r="I23" s="803">
        <f t="shared" si="3"/>
        <v>0</v>
      </c>
      <c r="J23" s="803">
        <f t="shared" si="4"/>
        <v>0</v>
      </c>
      <c r="K23" s="803">
        <f t="shared" si="5"/>
        <v>498740.55</v>
      </c>
      <c r="L23" s="803"/>
      <c r="M23" s="648"/>
      <c r="N23" s="648"/>
      <c r="O23" s="648">
        <v>542022.23</v>
      </c>
      <c r="P23" s="803"/>
      <c r="Q23" s="648"/>
      <c r="R23" s="648"/>
      <c r="S23" s="648">
        <v>455458.87</v>
      </c>
    </row>
    <row r="24" spans="1:19">
      <c r="A24" s="821">
        <f t="shared" si="12"/>
        <v>2.0799999999999983</v>
      </c>
      <c r="B24" s="648" t="s">
        <v>1170</v>
      </c>
      <c r="C24" s="648">
        <f t="shared" si="0"/>
        <v>0</v>
      </c>
      <c r="D24" s="648">
        <f t="shared" si="1"/>
        <v>0</v>
      </c>
      <c r="E24" s="803"/>
      <c r="F24" s="803"/>
      <c r="G24" s="803">
        <f t="shared" si="2"/>
        <v>0</v>
      </c>
      <c r="H24" s="803"/>
      <c r="I24" s="803">
        <f t="shared" si="3"/>
        <v>0</v>
      </c>
      <c r="J24" s="803">
        <f t="shared" si="4"/>
        <v>0</v>
      </c>
      <c r="K24" s="803">
        <f t="shared" si="5"/>
        <v>0</v>
      </c>
      <c r="L24" s="803"/>
      <c r="M24" s="648"/>
      <c r="N24" s="648"/>
      <c r="O24" s="648"/>
      <c r="P24" s="803"/>
      <c r="Q24" s="648"/>
      <c r="R24" s="648"/>
      <c r="S24" s="648"/>
    </row>
    <row r="25" spans="1:19">
      <c r="A25" s="821">
        <f t="shared" si="12"/>
        <v>2.0899999999999981</v>
      </c>
      <c r="B25" s="648" t="s">
        <v>1240</v>
      </c>
      <c r="C25" s="648">
        <f t="shared" ref="C25" si="25">SUM(M25:O25)</f>
        <v>0</v>
      </c>
      <c r="D25" s="648">
        <f t="shared" ref="D25" si="26">SUM(Q25:S25)</f>
        <v>-837.27</v>
      </c>
      <c r="E25" s="803"/>
      <c r="F25" s="803"/>
      <c r="G25" s="803">
        <f t="shared" ref="G25" si="27">ROUND(SUM(C25:F25)/2,0)</f>
        <v>-419</v>
      </c>
      <c r="H25" s="803"/>
      <c r="I25" s="803">
        <f t="shared" ref="I25" si="28">(M25+Q25)/2</f>
        <v>0</v>
      </c>
      <c r="J25" s="803">
        <f t="shared" ref="J25" si="29">(N25+R25)/2</f>
        <v>0</v>
      </c>
      <c r="K25" s="803">
        <f t="shared" ref="K25" si="30">(O25+S25)/2</f>
        <v>-418.63499999999999</v>
      </c>
      <c r="L25" s="803"/>
      <c r="M25" s="648"/>
      <c r="N25" s="648"/>
      <c r="O25" s="648"/>
      <c r="P25" s="803"/>
      <c r="Q25" s="648"/>
      <c r="R25" s="648"/>
      <c r="S25" s="648">
        <v>-837.27</v>
      </c>
    </row>
    <row r="26" spans="1:19">
      <c r="A26" s="821">
        <f t="shared" si="12"/>
        <v>2.0999999999999979</v>
      </c>
      <c r="B26" s="648" t="s">
        <v>1171</v>
      </c>
      <c r="C26" s="648">
        <f t="shared" si="0"/>
        <v>-130834.32</v>
      </c>
      <c r="D26" s="648">
        <f t="shared" si="1"/>
        <v>-132419.88</v>
      </c>
      <c r="E26" s="803"/>
      <c r="F26" s="803"/>
      <c r="G26" s="803">
        <f t="shared" si="2"/>
        <v>-131627</v>
      </c>
      <c r="H26" s="803"/>
      <c r="I26" s="803">
        <f t="shared" si="3"/>
        <v>-33421.264999999999</v>
      </c>
      <c r="J26" s="803">
        <f t="shared" si="4"/>
        <v>-20189.285</v>
      </c>
      <c r="K26" s="803">
        <f t="shared" si="5"/>
        <v>-78016.55</v>
      </c>
      <c r="L26" s="803"/>
      <c r="M26" s="648">
        <v>-35179.200000000004</v>
      </c>
      <c r="N26" s="648">
        <v>-19366.37</v>
      </c>
      <c r="O26" s="648">
        <v>-76288.75</v>
      </c>
      <c r="P26" s="803"/>
      <c r="Q26" s="648">
        <v>-31663.33</v>
      </c>
      <c r="R26" s="648">
        <v>-21012.2</v>
      </c>
      <c r="S26" s="648">
        <v>-79744.350000000006</v>
      </c>
    </row>
    <row r="27" spans="1:19">
      <c r="A27" s="821">
        <f t="shared" si="12"/>
        <v>2.1099999999999977</v>
      </c>
      <c r="B27" s="648" t="s">
        <v>1172</v>
      </c>
      <c r="C27" s="648">
        <f t="shared" si="0"/>
        <v>588334.72</v>
      </c>
      <c r="D27" s="648">
        <f t="shared" si="1"/>
        <v>572914.90999999992</v>
      </c>
      <c r="E27" s="803"/>
      <c r="F27" s="803"/>
      <c r="G27" s="803">
        <f t="shared" si="2"/>
        <v>580625</v>
      </c>
      <c r="H27" s="803"/>
      <c r="I27" s="803">
        <f t="shared" si="3"/>
        <v>287697.93</v>
      </c>
      <c r="J27" s="803">
        <f t="shared" si="4"/>
        <v>-0.57000000000000006</v>
      </c>
      <c r="K27" s="803">
        <f t="shared" si="5"/>
        <v>292927.45500000002</v>
      </c>
      <c r="L27" s="803"/>
      <c r="M27" s="648">
        <v>283102.32</v>
      </c>
      <c r="N27" s="648">
        <v>-0.57000000000000006</v>
      </c>
      <c r="O27" s="648">
        <v>305232.97000000003</v>
      </c>
      <c r="P27" s="803"/>
      <c r="Q27" s="648">
        <v>292293.53999999998</v>
      </c>
      <c r="R27" s="648">
        <v>-0.57000000000000006</v>
      </c>
      <c r="S27" s="648">
        <v>280621.94</v>
      </c>
    </row>
    <row r="28" spans="1:19">
      <c r="A28" s="821">
        <f t="shared" si="12"/>
        <v>2.1199999999999974</v>
      </c>
      <c r="B28" s="648" t="s">
        <v>1173</v>
      </c>
      <c r="C28" s="648">
        <f t="shared" si="0"/>
        <v>-2923644.8600000003</v>
      </c>
      <c r="D28" s="648">
        <f t="shared" si="1"/>
        <v>-3457350.87</v>
      </c>
      <c r="E28" s="803"/>
      <c r="F28" s="803"/>
      <c r="G28" s="803">
        <f t="shared" si="2"/>
        <v>-3190498</v>
      </c>
      <c r="H28" s="803"/>
      <c r="I28" s="803">
        <f t="shared" si="3"/>
        <v>-1982435.08</v>
      </c>
      <c r="J28" s="803">
        <f t="shared" si="4"/>
        <v>-25788.514999999999</v>
      </c>
      <c r="K28" s="803">
        <f t="shared" si="5"/>
        <v>-1182274.27</v>
      </c>
      <c r="L28" s="803"/>
      <c r="M28" s="648">
        <v>-1864283.31</v>
      </c>
      <c r="N28" s="648">
        <v>-986.61</v>
      </c>
      <c r="O28" s="648">
        <v>-1058374.94</v>
      </c>
      <c r="P28" s="803"/>
      <c r="Q28" s="648">
        <v>-2100586.85</v>
      </c>
      <c r="R28" s="648">
        <v>-50590.42</v>
      </c>
      <c r="S28" s="648">
        <v>-1306173.6000000001</v>
      </c>
    </row>
    <row r="29" spans="1:19">
      <c r="A29" s="821">
        <f t="shared" si="12"/>
        <v>2.1299999999999972</v>
      </c>
      <c r="B29" s="648" t="s">
        <v>1174</v>
      </c>
      <c r="C29" s="648">
        <f t="shared" si="0"/>
        <v>46481.77</v>
      </c>
      <c r="D29" s="648">
        <f t="shared" si="1"/>
        <v>46677.88</v>
      </c>
      <c r="E29" s="803"/>
      <c r="F29" s="803"/>
      <c r="G29" s="803">
        <f t="shared" si="2"/>
        <v>46580</v>
      </c>
      <c r="H29" s="803"/>
      <c r="I29" s="803">
        <f t="shared" si="3"/>
        <v>484.39</v>
      </c>
      <c r="J29" s="803">
        <f t="shared" si="4"/>
        <v>0</v>
      </c>
      <c r="K29" s="803">
        <f t="shared" si="5"/>
        <v>46095.434999999998</v>
      </c>
      <c r="L29" s="803"/>
      <c r="M29" s="648">
        <v>484.39</v>
      </c>
      <c r="N29" s="648"/>
      <c r="O29" s="648">
        <v>45997.38</v>
      </c>
      <c r="P29" s="803"/>
      <c r="Q29" s="648">
        <v>484.39</v>
      </c>
      <c r="R29" s="648"/>
      <c r="S29" s="648">
        <v>46193.49</v>
      </c>
    </row>
    <row r="30" spans="1:19">
      <c r="A30" s="821">
        <f t="shared" si="12"/>
        <v>2.139999999999997</v>
      </c>
      <c r="B30" s="648" t="s">
        <v>1175</v>
      </c>
      <c r="C30" s="648">
        <f t="shared" si="0"/>
        <v>-31843.98</v>
      </c>
      <c r="D30" s="648">
        <f t="shared" si="1"/>
        <v>-35212.380000000005</v>
      </c>
      <c r="E30" s="803"/>
      <c r="F30" s="803"/>
      <c r="G30" s="803">
        <f t="shared" si="2"/>
        <v>-33528</v>
      </c>
      <c r="H30" s="803"/>
      <c r="I30" s="803">
        <f t="shared" si="3"/>
        <v>-484.26</v>
      </c>
      <c r="J30" s="803">
        <f t="shared" si="4"/>
        <v>0</v>
      </c>
      <c r="K30" s="803">
        <f t="shared" si="5"/>
        <v>-33043.919999999998</v>
      </c>
      <c r="L30" s="803"/>
      <c r="M30" s="648">
        <v>-484.26</v>
      </c>
      <c r="N30" s="648"/>
      <c r="O30" s="648">
        <v>-31359.72</v>
      </c>
      <c r="P30" s="803"/>
      <c r="Q30" s="648">
        <v>-484.26</v>
      </c>
      <c r="R30" s="648"/>
      <c r="S30" s="648">
        <v>-34728.120000000003</v>
      </c>
    </row>
    <row r="31" spans="1:19">
      <c r="A31" s="821">
        <f t="shared" si="12"/>
        <v>2.1499999999999968</v>
      </c>
      <c r="B31" s="648" t="s">
        <v>1176</v>
      </c>
      <c r="C31" s="648">
        <f t="shared" si="0"/>
        <v>6225.76</v>
      </c>
      <c r="D31" s="648">
        <f t="shared" si="1"/>
        <v>2003.55</v>
      </c>
      <c r="E31" s="803"/>
      <c r="F31" s="803"/>
      <c r="G31" s="803">
        <f t="shared" si="2"/>
        <v>4115</v>
      </c>
      <c r="H31" s="803"/>
      <c r="I31" s="803">
        <f t="shared" si="3"/>
        <v>0</v>
      </c>
      <c r="J31" s="803">
        <f t="shared" si="4"/>
        <v>0</v>
      </c>
      <c r="K31" s="803">
        <f t="shared" si="5"/>
        <v>4114.6549999999997</v>
      </c>
      <c r="L31" s="803"/>
      <c r="M31" s="648"/>
      <c r="N31" s="648"/>
      <c r="O31" s="648">
        <v>6225.76</v>
      </c>
      <c r="P31" s="803"/>
      <c r="Q31" s="648"/>
      <c r="R31" s="648"/>
      <c r="S31" s="648">
        <v>2003.55</v>
      </c>
    </row>
    <row r="32" spans="1:19">
      <c r="A32" s="821">
        <f t="shared" si="12"/>
        <v>2.1599999999999966</v>
      </c>
      <c r="B32" s="648" t="s">
        <v>1177</v>
      </c>
      <c r="C32" s="648">
        <f t="shared" si="0"/>
        <v>-0.63</v>
      </c>
      <c r="D32" s="648">
        <f t="shared" si="1"/>
        <v>-0.63</v>
      </c>
      <c r="E32" s="803"/>
      <c r="F32" s="803"/>
      <c r="G32" s="803">
        <f t="shared" si="2"/>
        <v>-1</v>
      </c>
      <c r="H32" s="803"/>
      <c r="I32" s="803">
        <f t="shared" si="3"/>
        <v>-0.21</v>
      </c>
      <c r="J32" s="803">
        <f t="shared" si="4"/>
        <v>0</v>
      </c>
      <c r="K32" s="803">
        <f t="shared" si="5"/>
        <v>-0.42</v>
      </c>
      <c r="L32" s="803"/>
      <c r="M32" s="648">
        <v>-0.21</v>
      </c>
      <c r="N32" s="648"/>
      <c r="O32" s="648">
        <v>-0.42</v>
      </c>
      <c r="P32" s="803"/>
      <c r="Q32" s="648">
        <v>-0.21</v>
      </c>
      <c r="R32" s="648"/>
      <c r="S32" s="648">
        <v>-0.42</v>
      </c>
    </row>
    <row r="33" spans="1:19">
      <c r="A33" s="821">
        <f t="shared" si="12"/>
        <v>2.1699999999999964</v>
      </c>
      <c r="B33" s="648" t="s">
        <v>1178</v>
      </c>
      <c r="C33" s="648">
        <f t="shared" si="0"/>
        <v>127.46000000000001</v>
      </c>
      <c r="D33" s="648">
        <f t="shared" si="1"/>
        <v>11000.35</v>
      </c>
      <c r="E33" s="803"/>
      <c r="F33" s="803"/>
      <c r="G33" s="803">
        <f t="shared" si="2"/>
        <v>5564</v>
      </c>
      <c r="H33" s="803"/>
      <c r="I33" s="803">
        <f t="shared" si="3"/>
        <v>0.14000000000000001</v>
      </c>
      <c r="J33" s="803">
        <f t="shared" si="4"/>
        <v>-0.06</v>
      </c>
      <c r="K33" s="803">
        <f t="shared" si="5"/>
        <v>5563.8249999999998</v>
      </c>
      <c r="L33" s="803"/>
      <c r="M33" s="648">
        <v>0.14000000000000001</v>
      </c>
      <c r="N33" s="648">
        <v>-0.06</v>
      </c>
      <c r="O33" s="648">
        <v>127.38000000000001</v>
      </c>
      <c r="P33" s="803"/>
      <c r="Q33" s="648">
        <v>0.14000000000000001</v>
      </c>
      <c r="R33" s="648">
        <v>-0.06</v>
      </c>
      <c r="S33" s="648">
        <v>11000.27</v>
      </c>
    </row>
    <row r="34" spans="1:19">
      <c r="A34" s="821">
        <f t="shared" si="12"/>
        <v>2.1799999999999962</v>
      </c>
      <c r="B34" s="648" t="s">
        <v>1212</v>
      </c>
      <c r="C34" s="648">
        <f t="shared" ref="C34" si="31">SUM(M34:O34)</f>
        <v>0</v>
      </c>
      <c r="D34" s="648">
        <f t="shared" ref="D34" si="32">SUM(Q34:S34)</f>
        <v>-0.1</v>
      </c>
      <c r="E34" s="803"/>
      <c r="F34" s="803"/>
      <c r="G34" s="803">
        <f t="shared" ref="G34" si="33">ROUND(SUM(C34:F34)/2,0)</f>
        <v>0</v>
      </c>
      <c r="H34" s="803"/>
      <c r="I34" s="803">
        <f t="shared" ref="I34" si="34">(M34+Q34)/2</f>
        <v>-0.05</v>
      </c>
      <c r="J34" s="803">
        <f t="shared" ref="J34" si="35">(N34+R34)/2</f>
        <v>0</v>
      </c>
      <c r="K34" s="803">
        <f t="shared" ref="K34" si="36">(O34+S34)/2</f>
        <v>0</v>
      </c>
      <c r="L34" s="803"/>
      <c r="M34" s="648"/>
      <c r="N34" s="648"/>
      <c r="O34" s="648"/>
      <c r="P34" s="803"/>
      <c r="Q34" s="648">
        <v>-0.1</v>
      </c>
      <c r="R34" s="648"/>
      <c r="S34" s="648"/>
    </row>
    <row r="35" spans="1:19">
      <c r="A35" s="821">
        <f t="shared" si="12"/>
        <v>2.1899999999999959</v>
      </c>
      <c r="B35" s="648" t="s">
        <v>1372</v>
      </c>
      <c r="C35" s="648">
        <f t="shared" ref="C35" si="37">SUM(M35:O35)</f>
        <v>0</v>
      </c>
      <c r="D35" s="648">
        <f t="shared" ref="D35" si="38">SUM(Q35:S35)</f>
        <v>-330.22</v>
      </c>
      <c r="E35" s="803"/>
      <c r="F35" s="803"/>
      <c r="G35" s="803">
        <f t="shared" ref="G35" si="39">ROUND(SUM(C35:F35)/2,0)</f>
        <v>-165</v>
      </c>
      <c r="H35" s="803"/>
      <c r="I35" s="803">
        <f t="shared" ref="I35" si="40">(M35+Q35)/2</f>
        <v>0</v>
      </c>
      <c r="J35" s="803">
        <f t="shared" ref="J35" si="41">(N35+R35)/2</f>
        <v>0</v>
      </c>
      <c r="K35" s="803">
        <f t="shared" ref="K35" si="42">(O35+S35)/2</f>
        <v>-165.11</v>
      </c>
      <c r="L35" s="803"/>
      <c r="M35" s="648"/>
      <c r="N35" s="648"/>
      <c r="O35" s="648"/>
      <c r="P35" s="803"/>
      <c r="Q35" s="648"/>
      <c r="R35" s="648"/>
      <c r="S35" s="648">
        <v>-330.22</v>
      </c>
    </row>
    <row r="36" spans="1:19">
      <c r="A36" s="821">
        <f t="shared" si="12"/>
        <v>2.1999999999999957</v>
      </c>
      <c r="B36" s="648" t="s">
        <v>1179</v>
      </c>
      <c r="C36" s="648">
        <f t="shared" si="0"/>
        <v>442115.53</v>
      </c>
      <c r="D36" s="648">
        <f t="shared" si="1"/>
        <v>731674.51</v>
      </c>
      <c r="E36" s="803"/>
      <c r="F36" s="803"/>
      <c r="G36" s="803">
        <f t="shared" si="2"/>
        <v>586895</v>
      </c>
      <c r="H36" s="803"/>
      <c r="I36" s="803">
        <f t="shared" si="3"/>
        <v>35470.505000000005</v>
      </c>
      <c r="J36" s="803">
        <f t="shared" si="4"/>
        <v>3611.4349999999999</v>
      </c>
      <c r="K36" s="803">
        <f t="shared" si="5"/>
        <v>547813.08000000007</v>
      </c>
      <c r="L36" s="803"/>
      <c r="M36" s="648">
        <v>26735.920000000002</v>
      </c>
      <c r="N36" s="648">
        <v>1609.8400000000001</v>
      </c>
      <c r="O36" s="648">
        <v>413769.77</v>
      </c>
      <c r="P36" s="803"/>
      <c r="Q36" s="648">
        <v>44205.090000000004</v>
      </c>
      <c r="R36" s="648">
        <v>5613.03</v>
      </c>
      <c r="S36" s="648">
        <v>681856.39</v>
      </c>
    </row>
    <row r="37" spans="1:19">
      <c r="A37" s="821">
        <f t="shared" si="12"/>
        <v>2.2099999999999955</v>
      </c>
      <c r="B37" s="648" t="s">
        <v>1180</v>
      </c>
      <c r="C37" s="648">
        <f t="shared" si="0"/>
        <v>428397.89</v>
      </c>
      <c r="D37" s="648">
        <f t="shared" si="1"/>
        <v>478718.68</v>
      </c>
      <c r="E37" s="803"/>
      <c r="F37" s="803"/>
      <c r="G37" s="803">
        <f t="shared" si="2"/>
        <v>453558</v>
      </c>
      <c r="H37" s="803"/>
      <c r="I37" s="803">
        <f t="shared" si="3"/>
        <v>43727.415000000001</v>
      </c>
      <c r="J37" s="803">
        <f t="shared" si="4"/>
        <v>5441.29</v>
      </c>
      <c r="K37" s="803">
        <f t="shared" si="5"/>
        <v>404389.57999999996</v>
      </c>
      <c r="L37" s="803"/>
      <c r="M37" s="648">
        <v>42359.62</v>
      </c>
      <c r="N37" s="648">
        <v>3275.54</v>
      </c>
      <c r="O37" s="648">
        <v>382762.73</v>
      </c>
      <c r="P37" s="803"/>
      <c r="Q37" s="648">
        <v>45095.21</v>
      </c>
      <c r="R37" s="648">
        <v>7607.04</v>
      </c>
      <c r="S37" s="648">
        <v>426016.43</v>
      </c>
    </row>
    <row r="38" spans="1:19">
      <c r="A38" s="821">
        <f t="shared" si="12"/>
        <v>2.2199999999999953</v>
      </c>
      <c r="B38" s="648" t="s">
        <v>1181</v>
      </c>
      <c r="C38" s="648">
        <f t="shared" si="0"/>
        <v>-0.01</v>
      </c>
      <c r="D38" s="648">
        <f t="shared" si="1"/>
        <v>0</v>
      </c>
      <c r="E38" s="803"/>
      <c r="F38" s="803"/>
      <c r="G38" s="803">
        <f t="shared" si="2"/>
        <v>0</v>
      </c>
      <c r="H38" s="803"/>
      <c r="I38" s="803">
        <f t="shared" si="3"/>
        <v>0</v>
      </c>
      <c r="J38" s="803">
        <f t="shared" si="4"/>
        <v>0</v>
      </c>
      <c r="K38" s="803">
        <f t="shared" si="5"/>
        <v>-5.0000000000000001E-3</v>
      </c>
      <c r="L38" s="803"/>
      <c r="M38" s="648"/>
      <c r="N38" s="648"/>
      <c r="O38" s="648">
        <v>-0.01</v>
      </c>
      <c r="P38" s="803"/>
      <c r="Q38" s="648"/>
      <c r="R38" s="648"/>
      <c r="S38" s="648">
        <v>0</v>
      </c>
    </row>
    <row r="39" spans="1:19">
      <c r="A39" s="821">
        <f t="shared" si="12"/>
        <v>2.2299999999999951</v>
      </c>
      <c r="B39" s="648" t="s">
        <v>1182</v>
      </c>
      <c r="C39" s="648">
        <f t="shared" si="0"/>
        <v>24852.170000000002</v>
      </c>
      <c r="D39" s="648">
        <f t="shared" si="1"/>
        <v>23726.45</v>
      </c>
      <c r="E39" s="803"/>
      <c r="F39" s="803"/>
      <c r="G39" s="803">
        <f t="shared" si="2"/>
        <v>24289</v>
      </c>
      <c r="H39" s="803"/>
      <c r="I39" s="803">
        <f t="shared" si="3"/>
        <v>0</v>
      </c>
      <c r="J39" s="803">
        <f t="shared" si="4"/>
        <v>0</v>
      </c>
      <c r="K39" s="803">
        <f t="shared" si="5"/>
        <v>24289.31</v>
      </c>
      <c r="L39" s="803"/>
      <c r="M39" s="648"/>
      <c r="N39" s="648"/>
      <c r="O39" s="648">
        <v>24852.170000000002</v>
      </c>
      <c r="P39" s="803"/>
      <c r="Q39" s="648"/>
      <c r="R39" s="648"/>
      <c r="S39" s="648">
        <v>23726.45</v>
      </c>
    </row>
    <row r="40" spans="1:19">
      <c r="A40" s="821">
        <f t="shared" si="12"/>
        <v>2.2399999999999949</v>
      </c>
      <c r="B40" s="648" t="s">
        <v>1183</v>
      </c>
      <c r="C40" s="648">
        <f t="shared" si="0"/>
        <v>-1224.3400000000001</v>
      </c>
      <c r="D40" s="648">
        <f t="shared" si="1"/>
        <v>0.17</v>
      </c>
      <c r="E40" s="803"/>
      <c r="F40" s="803"/>
      <c r="G40" s="803">
        <f t="shared" si="2"/>
        <v>-612</v>
      </c>
      <c r="H40" s="803"/>
      <c r="I40" s="803">
        <f t="shared" si="3"/>
        <v>0</v>
      </c>
      <c r="J40" s="803">
        <f t="shared" si="4"/>
        <v>0.1</v>
      </c>
      <c r="K40" s="803">
        <f t="shared" si="5"/>
        <v>-612.18500000000006</v>
      </c>
      <c r="L40" s="803"/>
      <c r="M40" s="648"/>
      <c r="N40" s="648">
        <v>0.1</v>
      </c>
      <c r="O40" s="648">
        <v>-1224.44</v>
      </c>
      <c r="P40" s="803"/>
      <c r="Q40" s="648"/>
      <c r="R40" s="648">
        <v>0.1</v>
      </c>
      <c r="S40" s="648">
        <v>7.0000000000000007E-2</v>
      </c>
    </row>
    <row r="41" spans="1:19">
      <c r="A41" s="821">
        <f t="shared" si="12"/>
        <v>2.2499999999999947</v>
      </c>
      <c r="B41" s="648" t="s">
        <v>1184</v>
      </c>
      <c r="C41" s="648">
        <f t="shared" si="0"/>
        <v>-0.11</v>
      </c>
      <c r="D41" s="648">
        <f t="shared" si="1"/>
        <v>-0.11</v>
      </c>
      <c r="E41" s="803"/>
      <c r="F41" s="803"/>
      <c r="G41" s="803">
        <f t="shared" si="2"/>
        <v>0</v>
      </c>
      <c r="H41" s="803"/>
      <c r="I41" s="803">
        <f t="shared" si="3"/>
        <v>0</v>
      </c>
      <c r="J41" s="803">
        <f t="shared" si="4"/>
        <v>0</v>
      </c>
      <c r="K41" s="803">
        <f t="shared" si="5"/>
        <v>-0.11</v>
      </c>
      <c r="L41" s="803"/>
      <c r="M41" s="648"/>
      <c r="N41" s="648"/>
      <c r="O41" s="648">
        <v>-0.11</v>
      </c>
      <c r="P41" s="803"/>
      <c r="Q41" s="648"/>
      <c r="R41" s="648"/>
      <c r="S41" s="648">
        <v>-0.11</v>
      </c>
    </row>
    <row r="42" spans="1:19">
      <c r="A42" s="821">
        <f t="shared" si="12"/>
        <v>2.2599999999999945</v>
      </c>
      <c r="B42" s="648" t="s">
        <v>1207</v>
      </c>
      <c r="C42" s="648">
        <f t="shared" ref="C42" si="43">SUM(M42:O42)</f>
        <v>0</v>
      </c>
      <c r="D42" s="648">
        <f t="shared" ref="D42" si="44">SUM(Q42:S42)</f>
        <v>157657.93</v>
      </c>
      <c r="E42" s="803"/>
      <c r="F42" s="803"/>
      <c r="G42" s="803">
        <f t="shared" ref="G42" si="45">ROUND(SUM(C42:F42)/2,0)</f>
        <v>78829</v>
      </c>
      <c r="H42" s="803"/>
      <c r="I42" s="803">
        <f t="shared" ref="I42" si="46">(M42+Q42)/2</f>
        <v>0</v>
      </c>
      <c r="J42" s="803">
        <f t="shared" ref="J42" si="47">(N42+R42)/2</f>
        <v>0</v>
      </c>
      <c r="K42" s="803">
        <f t="shared" ref="K42" si="48">(O42+S42)/2</f>
        <v>78828.964999999997</v>
      </c>
      <c r="L42" s="803"/>
      <c r="M42" s="648"/>
      <c r="N42" s="648"/>
      <c r="O42" s="648"/>
      <c r="P42" s="803"/>
      <c r="Q42" s="648"/>
      <c r="R42" s="648"/>
      <c r="S42" s="648">
        <v>157657.93</v>
      </c>
    </row>
    <row r="43" spans="1:19">
      <c r="A43" s="821">
        <f t="shared" si="12"/>
        <v>2.2699999999999942</v>
      </c>
      <c r="B43" s="648" t="s">
        <v>1185</v>
      </c>
      <c r="C43" s="648">
        <f t="shared" si="0"/>
        <v>-0.31</v>
      </c>
      <c r="D43" s="648">
        <f t="shared" si="1"/>
        <v>-0.31</v>
      </c>
      <c r="E43" s="803"/>
      <c r="F43" s="803"/>
      <c r="G43" s="803">
        <f t="shared" si="2"/>
        <v>0</v>
      </c>
      <c r="H43" s="803"/>
      <c r="I43" s="803">
        <f t="shared" si="3"/>
        <v>-0.31</v>
      </c>
      <c r="J43" s="803">
        <f t="shared" si="4"/>
        <v>0</v>
      </c>
      <c r="K43" s="803">
        <f t="shared" si="5"/>
        <v>0</v>
      </c>
      <c r="L43" s="803"/>
      <c r="M43" s="648">
        <v>-0.31</v>
      </c>
      <c r="N43" s="648"/>
      <c r="O43" s="648"/>
      <c r="P43" s="803"/>
      <c r="Q43" s="648">
        <v>-0.31</v>
      </c>
      <c r="R43" s="648"/>
      <c r="S43" s="648"/>
    </row>
    <row r="44" spans="1:19">
      <c r="A44" s="821">
        <f t="shared" si="12"/>
        <v>2.279999999999994</v>
      </c>
      <c r="B44" s="648" t="s">
        <v>1186</v>
      </c>
      <c r="C44" s="648">
        <f t="shared" si="0"/>
        <v>0.54</v>
      </c>
      <c r="D44" s="648">
        <f t="shared" si="1"/>
        <v>0.54</v>
      </c>
      <c r="E44" s="803"/>
      <c r="F44" s="803"/>
      <c r="G44" s="803">
        <f t="shared" si="2"/>
        <v>1</v>
      </c>
      <c r="H44" s="803"/>
      <c r="I44" s="803">
        <f t="shared" si="3"/>
        <v>0.18</v>
      </c>
      <c r="J44" s="803">
        <f t="shared" si="4"/>
        <v>0.18</v>
      </c>
      <c r="K44" s="803">
        <f t="shared" si="5"/>
        <v>0.18</v>
      </c>
      <c r="L44" s="803"/>
      <c r="M44" s="648">
        <v>0.18</v>
      </c>
      <c r="N44" s="648">
        <v>0.18</v>
      </c>
      <c r="O44" s="648">
        <v>0.18</v>
      </c>
      <c r="P44" s="803"/>
      <c r="Q44" s="648">
        <v>0.18</v>
      </c>
      <c r="R44" s="648">
        <v>0.18</v>
      </c>
      <c r="S44" s="648">
        <v>0.18</v>
      </c>
    </row>
    <row r="45" spans="1:19">
      <c r="A45" s="821">
        <f t="shared" si="12"/>
        <v>2.2899999999999938</v>
      </c>
      <c r="B45" s="648" t="s">
        <v>1217</v>
      </c>
      <c r="C45" s="648">
        <f t="shared" ref="C45" si="49">SUM(M45:O45)</f>
        <v>0</v>
      </c>
      <c r="D45" s="648">
        <f t="shared" ref="D45" si="50">SUM(Q45:S45)</f>
        <v>0.01</v>
      </c>
      <c r="E45" s="803"/>
      <c r="F45" s="803"/>
      <c r="G45" s="803">
        <f t="shared" ref="G45" si="51">ROUND(SUM(C45:F45)/2,0)</f>
        <v>0</v>
      </c>
      <c r="H45" s="803"/>
      <c r="I45" s="803">
        <f t="shared" ref="I45" si="52">(M45+Q45)/2</f>
        <v>0</v>
      </c>
      <c r="J45" s="803">
        <f t="shared" ref="J45" si="53">(N45+R45)/2</f>
        <v>5.0000000000000001E-3</v>
      </c>
      <c r="K45" s="803">
        <f t="shared" ref="K45" si="54">(O45+S45)/2</f>
        <v>0</v>
      </c>
      <c r="L45" s="803"/>
      <c r="M45" s="648"/>
      <c r="N45" s="648"/>
      <c r="O45" s="648"/>
      <c r="P45" s="803"/>
      <c r="Q45" s="648"/>
      <c r="R45" s="648">
        <v>0.01</v>
      </c>
      <c r="S45" s="648"/>
    </row>
    <row r="46" spans="1:19">
      <c r="A46" s="821">
        <f t="shared" si="12"/>
        <v>2.2999999999999936</v>
      </c>
      <c r="B46" s="648" t="s">
        <v>1187</v>
      </c>
      <c r="C46" s="648">
        <f t="shared" si="0"/>
        <v>0.01</v>
      </c>
      <c r="D46" s="648">
        <f t="shared" si="1"/>
        <v>0.01</v>
      </c>
      <c r="E46" s="803"/>
      <c r="F46" s="803"/>
      <c r="G46" s="803">
        <f t="shared" si="2"/>
        <v>0</v>
      </c>
      <c r="H46" s="803"/>
      <c r="I46" s="803">
        <f t="shared" si="3"/>
        <v>0.01</v>
      </c>
      <c r="J46" s="803">
        <f t="shared" si="4"/>
        <v>0</v>
      </c>
      <c r="K46" s="803">
        <f t="shared" si="5"/>
        <v>0</v>
      </c>
      <c r="L46" s="803"/>
      <c r="M46" s="648">
        <v>0.01</v>
      </c>
      <c r="N46" s="648"/>
      <c r="O46" s="648"/>
      <c r="P46" s="803"/>
      <c r="Q46" s="648">
        <v>0.01</v>
      </c>
      <c r="R46" s="648"/>
      <c r="S46" s="648"/>
    </row>
    <row r="47" spans="1:19">
      <c r="A47" s="821">
        <f t="shared" si="12"/>
        <v>2.3099999999999934</v>
      </c>
      <c r="B47" s="648" t="s">
        <v>1188</v>
      </c>
      <c r="C47" s="648">
        <f t="shared" si="0"/>
        <v>7.0000000000000007E-2</v>
      </c>
      <c r="D47" s="648">
        <f t="shared" si="1"/>
        <v>7.0000000000000007E-2</v>
      </c>
      <c r="E47" s="803"/>
      <c r="F47" s="803"/>
      <c r="G47" s="803">
        <f t="shared" si="2"/>
        <v>0</v>
      </c>
      <c r="H47" s="803"/>
      <c r="I47" s="803">
        <f t="shared" si="3"/>
        <v>7.0000000000000007E-2</v>
      </c>
      <c r="J47" s="803">
        <f t="shared" si="4"/>
        <v>0</v>
      </c>
      <c r="K47" s="803">
        <f t="shared" si="5"/>
        <v>0</v>
      </c>
      <c r="L47" s="803"/>
      <c r="M47" s="648">
        <v>7.0000000000000007E-2</v>
      </c>
      <c r="N47" s="648"/>
      <c r="O47" s="648"/>
      <c r="P47" s="803"/>
      <c r="Q47" s="648">
        <v>7.0000000000000007E-2</v>
      </c>
      <c r="R47" s="648"/>
      <c r="S47" s="648"/>
    </row>
    <row r="48" spans="1:19">
      <c r="A48" s="821">
        <f t="shared" si="12"/>
        <v>2.3199999999999932</v>
      </c>
      <c r="B48" s="648" t="s">
        <v>1189</v>
      </c>
      <c r="C48" s="648">
        <f t="shared" si="0"/>
        <v>-186.53</v>
      </c>
      <c r="D48" s="648">
        <f t="shared" si="1"/>
        <v>0</v>
      </c>
      <c r="E48" s="803"/>
      <c r="F48" s="803"/>
      <c r="G48" s="803">
        <f t="shared" si="2"/>
        <v>-93</v>
      </c>
      <c r="H48" s="803"/>
      <c r="I48" s="803">
        <f t="shared" si="3"/>
        <v>0</v>
      </c>
      <c r="J48" s="803">
        <f t="shared" si="4"/>
        <v>-93.265000000000001</v>
      </c>
      <c r="K48" s="803">
        <f t="shared" si="5"/>
        <v>0</v>
      </c>
      <c r="L48" s="803"/>
      <c r="M48" s="648"/>
      <c r="N48" s="648">
        <v>-186.53</v>
      </c>
      <c r="O48" s="648"/>
      <c r="P48" s="803"/>
      <c r="Q48" s="648"/>
      <c r="R48" s="648"/>
      <c r="S48" s="648"/>
    </row>
    <row r="49" spans="1:19">
      <c r="A49" s="821">
        <f t="shared" ref="A49:A90" si="55">A48+0.01</f>
        <v>2.329999999999993</v>
      </c>
      <c r="B49" s="648" t="s">
        <v>1190</v>
      </c>
      <c r="C49" s="648">
        <f t="shared" si="0"/>
        <v>7.0000000000000007E-2</v>
      </c>
      <c r="D49" s="648">
        <f t="shared" si="1"/>
        <v>0</v>
      </c>
      <c r="E49" s="803"/>
      <c r="F49" s="803"/>
      <c r="G49" s="803">
        <f t="shared" si="2"/>
        <v>0</v>
      </c>
      <c r="H49" s="803"/>
      <c r="I49" s="803">
        <f t="shared" si="3"/>
        <v>3.5000000000000003E-2</v>
      </c>
      <c r="J49" s="803">
        <f t="shared" si="4"/>
        <v>0</v>
      </c>
      <c r="K49" s="803">
        <f t="shared" si="5"/>
        <v>0</v>
      </c>
      <c r="L49" s="803"/>
      <c r="M49" s="648">
        <v>7.0000000000000007E-2</v>
      </c>
      <c r="N49" s="648">
        <v>0</v>
      </c>
      <c r="O49" s="648"/>
      <c r="P49" s="803"/>
      <c r="Q49" s="648"/>
      <c r="R49" s="648"/>
      <c r="S49" s="648"/>
    </row>
    <row r="50" spans="1:19">
      <c r="A50" s="821">
        <f t="shared" si="55"/>
        <v>2.3399999999999928</v>
      </c>
      <c r="B50" s="648" t="s">
        <v>1191</v>
      </c>
      <c r="C50" s="648">
        <f t="shared" si="0"/>
        <v>28410.59</v>
      </c>
      <c r="D50" s="648">
        <f t="shared" si="1"/>
        <v>33612.840000000004</v>
      </c>
      <c r="E50" s="803"/>
      <c r="F50" s="803"/>
      <c r="G50" s="803">
        <f t="shared" si="2"/>
        <v>31012</v>
      </c>
      <c r="H50" s="803"/>
      <c r="I50" s="803">
        <f t="shared" si="3"/>
        <v>0</v>
      </c>
      <c r="J50" s="803">
        <f t="shared" si="4"/>
        <v>92.05</v>
      </c>
      <c r="K50" s="803">
        <f t="shared" si="5"/>
        <v>30919.665000000001</v>
      </c>
      <c r="L50" s="803"/>
      <c r="M50" s="648"/>
      <c r="N50" s="648">
        <v>70.66</v>
      </c>
      <c r="O50" s="648">
        <v>28339.93</v>
      </c>
      <c r="P50" s="803"/>
      <c r="Q50" s="648"/>
      <c r="R50" s="648">
        <v>113.44</v>
      </c>
      <c r="S50" s="648">
        <v>33499.4</v>
      </c>
    </row>
    <row r="51" spans="1:19">
      <c r="A51" s="821">
        <f t="shared" si="55"/>
        <v>2.3499999999999925</v>
      </c>
      <c r="B51" s="648" t="s">
        <v>1213</v>
      </c>
      <c r="C51" s="648">
        <f t="shared" ref="C51" si="56">SUM(M51:O51)</f>
        <v>0</v>
      </c>
      <c r="D51" s="648">
        <f t="shared" ref="D51" si="57">SUM(Q51:S51)</f>
        <v>0.21</v>
      </c>
      <c r="E51" s="803"/>
      <c r="F51" s="803"/>
      <c r="G51" s="803">
        <f t="shared" ref="G51" si="58">ROUND(SUM(C51:F51)/2,0)</f>
        <v>0</v>
      </c>
      <c r="H51" s="803"/>
      <c r="I51" s="803">
        <f t="shared" ref="I51" si="59">(M51+Q51)/2</f>
        <v>0.105</v>
      </c>
      <c r="J51" s="803">
        <f t="shared" ref="J51" si="60">(N51+R51)/2</f>
        <v>0</v>
      </c>
      <c r="K51" s="803">
        <f t="shared" ref="K51" si="61">(O51+S51)/2</f>
        <v>0</v>
      </c>
      <c r="L51" s="803"/>
      <c r="M51" s="648"/>
      <c r="N51" s="648"/>
      <c r="O51" s="648"/>
      <c r="P51" s="803"/>
      <c r="Q51" s="648">
        <v>0.21</v>
      </c>
      <c r="R51" s="648"/>
      <c r="S51" s="648"/>
    </row>
    <row r="52" spans="1:19">
      <c r="A52" s="821">
        <f t="shared" si="55"/>
        <v>2.3599999999999923</v>
      </c>
      <c r="B52" s="648" t="s">
        <v>1214</v>
      </c>
      <c r="C52" s="648">
        <f t="shared" ref="C52" si="62">SUM(M52:O52)</f>
        <v>0</v>
      </c>
      <c r="D52" s="648">
        <f t="shared" ref="D52" si="63">SUM(Q52:S52)</f>
        <v>-0.21</v>
      </c>
      <c r="E52" s="803"/>
      <c r="F52" s="803"/>
      <c r="G52" s="803">
        <f t="shared" ref="G52" si="64">ROUND(SUM(C52:F52)/2,0)</f>
        <v>0</v>
      </c>
      <c r="H52" s="803"/>
      <c r="I52" s="803">
        <f t="shared" ref="I52" si="65">(M52+Q52)/2</f>
        <v>-0.105</v>
      </c>
      <c r="J52" s="803">
        <f t="shared" ref="J52" si="66">(N52+R52)/2</f>
        <v>0</v>
      </c>
      <c r="K52" s="803">
        <f t="shared" ref="K52" si="67">(O52+S52)/2</f>
        <v>0</v>
      </c>
      <c r="L52" s="803"/>
      <c r="M52" s="648"/>
      <c r="N52" s="648"/>
      <c r="O52" s="648"/>
      <c r="P52" s="803"/>
      <c r="Q52" s="648">
        <v>-0.21</v>
      </c>
      <c r="R52" s="648"/>
      <c r="S52" s="648"/>
    </row>
    <row r="53" spans="1:19">
      <c r="A53" s="821">
        <f t="shared" si="55"/>
        <v>2.3699999999999921</v>
      </c>
      <c r="B53" s="648" t="s">
        <v>1192</v>
      </c>
      <c r="C53" s="648">
        <f t="shared" si="0"/>
        <v>361718.95</v>
      </c>
      <c r="D53" s="648">
        <f t="shared" si="1"/>
        <v>1149811.33</v>
      </c>
      <c r="E53" s="803"/>
      <c r="F53" s="803"/>
      <c r="G53" s="803">
        <f t="shared" si="2"/>
        <v>755765</v>
      </c>
      <c r="H53" s="803"/>
      <c r="I53" s="803">
        <f t="shared" si="3"/>
        <v>755346.505</v>
      </c>
      <c r="J53" s="803">
        <f t="shared" si="4"/>
        <v>0</v>
      </c>
      <c r="K53" s="803">
        <f t="shared" si="5"/>
        <v>418.63499999999999</v>
      </c>
      <c r="L53" s="803"/>
      <c r="M53" s="648">
        <v>361718.95</v>
      </c>
      <c r="N53" s="648"/>
      <c r="O53" s="648"/>
      <c r="P53" s="803"/>
      <c r="Q53" s="648">
        <v>1148974.06</v>
      </c>
      <c r="R53" s="648"/>
      <c r="S53" s="648">
        <v>837.27</v>
      </c>
    </row>
    <row r="54" spans="1:19">
      <c r="A54" s="821">
        <f t="shared" si="55"/>
        <v>2.3799999999999919</v>
      </c>
      <c r="B54" s="648" t="s">
        <v>1215</v>
      </c>
      <c r="C54" s="648">
        <f t="shared" ref="C54" si="68">SUM(M54:O54)</f>
        <v>0</v>
      </c>
      <c r="D54" s="648">
        <f t="shared" ref="D54" si="69">SUM(Q54:S54)</f>
        <v>-0.14000000000000001</v>
      </c>
      <c r="E54" s="803"/>
      <c r="F54" s="803"/>
      <c r="G54" s="803">
        <f t="shared" ref="G54" si="70">ROUND(SUM(C54:F54)/2,0)</f>
        <v>0</v>
      </c>
      <c r="H54" s="803"/>
      <c r="I54" s="803">
        <f t="shared" ref="I54" si="71">(M54+Q54)/2</f>
        <v>-7.0000000000000007E-2</v>
      </c>
      <c r="J54" s="803">
        <f t="shared" ref="J54" si="72">(N54+R54)/2</f>
        <v>0</v>
      </c>
      <c r="K54" s="803">
        <f t="shared" ref="K54" si="73">(O54+S54)/2</f>
        <v>0</v>
      </c>
      <c r="L54" s="803"/>
      <c r="M54" s="648"/>
      <c r="N54" s="648"/>
      <c r="O54" s="648"/>
      <c r="P54" s="803"/>
      <c r="Q54" s="648">
        <v>-0.14000000000000001</v>
      </c>
      <c r="R54" s="648"/>
      <c r="S54" s="648"/>
    </row>
    <row r="55" spans="1:19">
      <c r="A55" s="821">
        <f t="shared" si="55"/>
        <v>2.3899999999999917</v>
      </c>
      <c r="B55" s="648" t="s">
        <v>1193</v>
      </c>
      <c r="C55" s="648">
        <f t="shared" si="0"/>
        <v>-100084.44</v>
      </c>
      <c r="D55" s="648">
        <f t="shared" si="1"/>
        <v>-112070.61</v>
      </c>
      <c r="E55" s="803"/>
      <c r="F55" s="803"/>
      <c r="G55" s="803">
        <f t="shared" si="2"/>
        <v>-106078</v>
      </c>
      <c r="H55" s="803"/>
      <c r="I55" s="803">
        <f t="shared" si="3"/>
        <v>0</v>
      </c>
      <c r="J55" s="803">
        <f t="shared" si="4"/>
        <v>0</v>
      </c>
      <c r="K55" s="803">
        <f t="shared" si="5"/>
        <v>-106077.52499999999</v>
      </c>
      <c r="L55" s="803"/>
      <c r="M55" s="648"/>
      <c r="N55" s="648"/>
      <c r="O55" s="648">
        <v>-100084.44</v>
      </c>
      <c r="P55" s="803"/>
      <c r="Q55" s="648"/>
      <c r="R55" s="648"/>
      <c r="S55" s="648">
        <v>-112070.61</v>
      </c>
    </row>
    <row r="56" spans="1:19">
      <c r="A56" s="821">
        <f t="shared" si="55"/>
        <v>2.3999999999999915</v>
      </c>
      <c r="B56" s="648" t="s">
        <v>1194</v>
      </c>
      <c r="C56" s="648">
        <f t="shared" si="0"/>
        <v>-5145063.5999999996</v>
      </c>
      <c r="D56" s="648">
        <f t="shared" si="1"/>
        <v>-7509440.1799999997</v>
      </c>
      <c r="E56" s="803"/>
      <c r="F56" s="803"/>
      <c r="G56" s="803">
        <f t="shared" si="2"/>
        <v>-6327252</v>
      </c>
      <c r="H56" s="803"/>
      <c r="I56" s="803">
        <f t="shared" si="3"/>
        <v>-2541405.3600000003</v>
      </c>
      <c r="J56" s="803">
        <f t="shared" si="4"/>
        <v>-507008.5</v>
      </c>
      <c r="K56" s="803">
        <f t="shared" si="5"/>
        <v>-3278838.0300000003</v>
      </c>
      <c r="L56" s="803"/>
      <c r="M56" s="648">
        <v>-2215954.6</v>
      </c>
      <c r="N56" s="648">
        <v>-493659.42</v>
      </c>
      <c r="O56" s="648">
        <v>-2435449.58</v>
      </c>
      <c r="P56" s="803"/>
      <c r="Q56" s="648">
        <v>-2866856.12</v>
      </c>
      <c r="R56" s="648">
        <v>-520357.58</v>
      </c>
      <c r="S56" s="648">
        <v>-4122226.48</v>
      </c>
    </row>
    <row r="57" spans="1:19">
      <c r="A57" s="821">
        <f t="shared" si="55"/>
        <v>2.4099999999999913</v>
      </c>
      <c r="B57" s="648" t="s">
        <v>1195</v>
      </c>
      <c r="C57" s="648">
        <f t="shared" si="0"/>
        <v>-990648.57</v>
      </c>
      <c r="D57" s="648">
        <f t="shared" si="1"/>
        <v>-1914351.8399999999</v>
      </c>
      <c r="E57" s="803"/>
      <c r="F57" s="803"/>
      <c r="G57" s="803">
        <f t="shared" si="2"/>
        <v>-1452500</v>
      </c>
      <c r="H57" s="803"/>
      <c r="I57" s="803">
        <f t="shared" si="3"/>
        <v>-1784593.7850000001</v>
      </c>
      <c r="J57" s="803">
        <f t="shared" si="4"/>
        <v>330501.46499999997</v>
      </c>
      <c r="K57" s="803">
        <f t="shared" si="5"/>
        <v>1592.1149999999907</v>
      </c>
      <c r="L57" s="803"/>
      <c r="M57" s="648">
        <v>-1594304.49</v>
      </c>
      <c r="N57" s="648">
        <v>340386.06</v>
      </c>
      <c r="O57" s="648">
        <v>263269.86</v>
      </c>
      <c r="P57" s="803"/>
      <c r="Q57" s="648">
        <v>-1974883.08</v>
      </c>
      <c r="R57" s="648">
        <v>320616.87</v>
      </c>
      <c r="S57" s="648">
        <v>-260085.63</v>
      </c>
    </row>
    <row r="58" spans="1:19">
      <c r="A58" s="821">
        <f t="shared" si="55"/>
        <v>2.419999999999991</v>
      </c>
      <c r="B58" s="648" t="s">
        <v>1196</v>
      </c>
      <c r="C58" s="648">
        <f t="shared" si="0"/>
        <v>510503.11</v>
      </c>
      <c r="D58" s="648">
        <f t="shared" si="1"/>
        <v>584653.27</v>
      </c>
      <c r="E58" s="803"/>
      <c r="F58" s="803"/>
      <c r="G58" s="803">
        <f t="shared" si="2"/>
        <v>547578</v>
      </c>
      <c r="H58" s="803"/>
      <c r="I58" s="803">
        <f t="shared" si="3"/>
        <v>69912.460000000006</v>
      </c>
      <c r="J58" s="803">
        <f t="shared" si="4"/>
        <v>-0.06</v>
      </c>
      <c r="K58" s="803">
        <f t="shared" si="5"/>
        <v>477665.79</v>
      </c>
      <c r="L58" s="803"/>
      <c r="M58" s="648">
        <v>84893.440000000002</v>
      </c>
      <c r="N58" s="648">
        <v>-0.06</v>
      </c>
      <c r="O58" s="648">
        <v>425609.73</v>
      </c>
      <c r="P58" s="803"/>
      <c r="Q58" s="648">
        <v>54931.48</v>
      </c>
      <c r="R58" s="648">
        <v>-0.06</v>
      </c>
      <c r="S58" s="648">
        <v>529721.85</v>
      </c>
    </row>
    <row r="59" spans="1:19">
      <c r="A59" s="821">
        <f t="shared" si="55"/>
        <v>2.4299999999999908</v>
      </c>
      <c r="B59" s="648" t="s">
        <v>1197</v>
      </c>
      <c r="C59" s="648">
        <f t="shared" si="0"/>
        <v>18654929.41</v>
      </c>
      <c r="D59" s="648">
        <f t="shared" si="1"/>
        <v>19342225.43</v>
      </c>
      <c r="E59" s="808"/>
      <c r="F59" s="808"/>
      <c r="G59" s="808">
        <f t="shared" si="2"/>
        <v>18998577</v>
      </c>
      <c r="H59" s="808"/>
      <c r="I59" s="808">
        <f t="shared" si="3"/>
        <v>18950688.84</v>
      </c>
      <c r="J59" s="808">
        <f t="shared" si="4"/>
        <v>0</v>
      </c>
      <c r="K59" s="808">
        <f t="shared" si="5"/>
        <v>47888.58</v>
      </c>
      <c r="L59" s="808"/>
      <c r="M59" s="648">
        <v>18609161.07</v>
      </c>
      <c r="N59" s="648"/>
      <c r="O59" s="648">
        <v>45768.340000000004</v>
      </c>
      <c r="P59" s="808"/>
      <c r="Q59" s="648">
        <v>19292216.609999999</v>
      </c>
      <c r="R59" s="648"/>
      <c r="S59" s="648">
        <v>50008.82</v>
      </c>
    </row>
    <row r="60" spans="1:19">
      <c r="A60" s="821">
        <f t="shared" si="55"/>
        <v>2.4399999999999906</v>
      </c>
      <c r="B60" s="648" t="s">
        <v>1198</v>
      </c>
      <c r="C60" s="648">
        <f t="shared" si="0"/>
        <v>259017.9</v>
      </c>
      <c r="D60" s="648">
        <f t="shared" si="1"/>
        <v>767659.54</v>
      </c>
      <c r="E60" s="803"/>
      <c r="F60" s="803"/>
      <c r="G60" s="803">
        <f t="shared" si="2"/>
        <v>513339</v>
      </c>
      <c r="H60" s="803"/>
      <c r="I60" s="803">
        <f t="shared" si="3"/>
        <v>44515.91</v>
      </c>
      <c r="J60" s="803">
        <f t="shared" si="4"/>
        <v>-10617.440000000002</v>
      </c>
      <c r="K60" s="803">
        <f t="shared" si="5"/>
        <v>479440.25</v>
      </c>
      <c r="L60" s="803"/>
      <c r="M60" s="648">
        <v>49609.74</v>
      </c>
      <c r="N60" s="648">
        <v>-84237.35</v>
      </c>
      <c r="O60" s="648">
        <v>293645.51</v>
      </c>
      <c r="P60" s="803"/>
      <c r="Q60" s="648">
        <v>39422.080000000002</v>
      </c>
      <c r="R60" s="648">
        <v>63002.47</v>
      </c>
      <c r="S60" s="648">
        <v>665234.99</v>
      </c>
    </row>
    <row r="61" spans="1:19">
      <c r="A61" s="821">
        <f t="shared" si="55"/>
        <v>2.4499999999999904</v>
      </c>
      <c r="B61" s="648" t="s">
        <v>1199</v>
      </c>
      <c r="C61" s="648">
        <f t="shared" si="0"/>
        <v>0.6399999999999999</v>
      </c>
      <c r="D61" s="648">
        <f t="shared" si="1"/>
        <v>0.6399999999999999</v>
      </c>
      <c r="E61" s="803"/>
      <c r="F61" s="803"/>
      <c r="G61" s="803">
        <f t="shared" si="2"/>
        <v>1</v>
      </c>
      <c r="H61" s="803"/>
      <c r="I61" s="803">
        <f t="shared" si="3"/>
        <v>0.36</v>
      </c>
      <c r="J61" s="803">
        <f t="shared" si="4"/>
        <v>-0.08</v>
      </c>
      <c r="K61" s="803">
        <f t="shared" si="5"/>
        <v>0.36</v>
      </c>
      <c r="L61" s="803"/>
      <c r="M61" s="648">
        <v>0.36</v>
      </c>
      <c r="N61" s="648">
        <v>-0.08</v>
      </c>
      <c r="O61" s="648">
        <v>0.36</v>
      </c>
      <c r="P61" s="803"/>
      <c r="Q61" s="648">
        <v>0.36</v>
      </c>
      <c r="R61" s="648">
        <v>-0.08</v>
      </c>
      <c r="S61" s="648">
        <v>0.36</v>
      </c>
    </row>
    <row r="62" spans="1:19">
      <c r="A62" s="821">
        <f t="shared" si="55"/>
        <v>2.4599999999999902</v>
      </c>
      <c r="B62" s="648" t="s">
        <v>1200</v>
      </c>
      <c r="C62" s="648">
        <f t="shared" si="0"/>
        <v>-584605.77</v>
      </c>
      <c r="D62" s="648">
        <f t="shared" si="1"/>
        <v>-584605.77</v>
      </c>
      <c r="E62" s="803"/>
      <c r="F62" s="803"/>
      <c r="G62" s="803">
        <f t="shared" si="2"/>
        <v>-584606</v>
      </c>
      <c r="H62" s="803"/>
      <c r="I62" s="803">
        <f t="shared" si="3"/>
        <v>-584605.77</v>
      </c>
      <c r="J62" s="803">
        <f t="shared" si="4"/>
        <v>0</v>
      </c>
      <c r="K62" s="803">
        <f t="shared" si="5"/>
        <v>0</v>
      </c>
      <c r="L62" s="803"/>
      <c r="M62" s="648">
        <v>-584605.77</v>
      </c>
      <c r="N62" s="648"/>
      <c r="O62" s="648"/>
      <c r="P62" s="803"/>
      <c r="Q62" s="648">
        <v>-584605.77</v>
      </c>
      <c r="R62" s="648"/>
      <c r="S62" s="648"/>
    </row>
    <row r="63" spans="1:19">
      <c r="A63" s="821">
        <f t="shared" si="55"/>
        <v>2.46999999999999</v>
      </c>
      <c r="B63" s="648" t="s">
        <v>1201</v>
      </c>
      <c r="C63" s="648">
        <f t="shared" si="0"/>
        <v>115852.07</v>
      </c>
      <c r="D63" s="648">
        <f t="shared" si="1"/>
        <v>128837.92000000001</v>
      </c>
      <c r="E63" s="803"/>
      <c r="F63" s="803"/>
      <c r="G63" s="803">
        <f t="shared" si="2"/>
        <v>122345</v>
      </c>
      <c r="H63" s="803"/>
      <c r="I63" s="803">
        <f t="shared" si="3"/>
        <v>7948.2950000000001</v>
      </c>
      <c r="J63" s="803">
        <f t="shared" si="4"/>
        <v>0</v>
      </c>
      <c r="K63" s="803">
        <f t="shared" si="5"/>
        <v>114396.70000000001</v>
      </c>
      <c r="L63" s="803"/>
      <c r="M63" s="648">
        <v>11301.41</v>
      </c>
      <c r="N63" s="648"/>
      <c r="O63" s="648">
        <v>104550.66</v>
      </c>
      <c r="P63" s="803"/>
      <c r="Q63" s="648">
        <v>4595.18</v>
      </c>
      <c r="R63" s="648"/>
      <c r="S63" s="648">
        <v>124242.74</v>
      </c>
    </row>
    <row r="64" spans="1:19">
      <c r="A64" s="821">
        <f t="shared" si="55"/>
        <v>2.4799999999999898</v>
      </c>
      <c r="B64" s="648" t="s">
        <v>1202</v>
      </c>
      <c r="C64" s="648">
        <f t="shared" si="0"/>
        <v>-6046.74</v>
      </c>
      <c r="D64" s="648">
        <f t="shared" si="1"/>
        <v>-6046.74</v>
      </c>
      <c r="E64" s="803"/>
      <c r="F64" s="803"/>
      <c r="G64" s="803">
        <f t="shared" si="2"/>
        <v>-6047</v>
      </c>
      <c r="H64" s="803"/>
      <c r="I64" s="803">
        <f t="shared" si="3"/>
        <v>-6046.74</v>
      </c>
      <c r="J64" s="803">
        <f t="shared" si="4"/>
        <v>0</v>
      </c>
      <c r="K64" s="803">
        <f t="shared" si="5"/>
        <v>0</v>
      </c>
      <c r="L64" s="803"/>
      <c r="M64" s="648">
        <v>-6046.74</v>
      </c>
      <c r="N64" s="648"/>
      <c r="O64" s="648"/>
      <c r="P64" s="803"/>
      <c r="Q64" s="648">
        <v>-6046.74</v>
      </c>
      <c r="R64" s="648"/>
      <c r="S64" s="648"/>
    </row>
    <row r="65" spans="1:19">
      <c r="A65" s="821">
        <f t="shared" si="55"/>
        <v>2.4899999999999896</v>
      </c>
      <c r="B65" s="648" t="s">
        <v>1203</v>
      </c>
      <c r="C65" s="648">
        <f t="shared" si="0"/>
        <v>-1602.93</v>
      </c>
      <c r="D65" s="648">
        <f t="shared" si="1"/>
        <v>0</v>
      </c>
      <c r="E65" s="803"/>
      <c r="F65" s="803"/>
      <c r="G65" s="803">
        <f t="shared" si="2"/>
        <v>-801</v>
      </c>
      <c r="H65" s="803"/>
      <c r="I65" s="803">
        <f t="shared" si="3"/>
        <v>-801.46500000000003</v>
      </c>
      <c r="J65" s="803">
        <f t="shared" si="4"/>
        <v>0</v>
      </c>
      <c r="K65" s="803">
        <f t="shared" si="5"/>
        <v>0</v>
      </c>
      <c r="L65" s="803"/>
      <c r="M65" s="648">
        <v>-1602.93</v>
      </c>
      <c r="N65" s="648"/>
      <c r="O65" s="648"/>
      <c r="P65" s="803"/>
      <c r="Q65" s="648"/>
      <c r="R65" s="648"/>
      <c r="S65" s="648"/>
    </row>
    <row r="66" spans="1:19">
      <c r="A66" s="821">
        <f>A65+0.01</f>
        <v>2.4999999999999893</v>
      </c>
      <c r="B66" s="648" t="s">
        <v>1204</v>
      </c>
      <c r="C66" s="648">
        <f t="shared" si="0"/>
        <v>-0.02</v>
      </c>
      <c r="D66" s="648">
        <f t="shared" si="1"/>
        <v>-0.02</v>
      </c>
      <c r="E66" s="803"/>
      <c r="F66" s="803"/>
      <c r="G66" s="803">
        <f t="shared" si="2"/>
        <v>0</v>
      </c>
      <c r="H66" s="803"/>
      <c r="I66" s="803">
        <f t="shared" si="3"/>
        <v>0.04</v>
      </c>
      <c r="J66" s="803">
        <f t="shared" si="4"/>
        <v>-0.04</v>
      </c>
      <c r="K66" s="803">
        <f t="shared" si="5"/>
        <v>-0.02</v>
      </c>
      <c r="L66" s="803"/>
      <c r="M66" s="648">
        <v>0.04</v>
      </c>
      <c r="N66" s="648">
        <v>-0.04</v>
      </c>
      <c r="O66" s="648">
        <v>-0.02</v>
      </c>
      <c r="P66" s="803"/>
      <c r="Q66" s="648">
        <v>0.04</v>
      </c>
      <c r="R66" s="648">
        <v>-0.04</v>
      </c>
      <c r="S66" s="648">
        <v>-0.02</v>
      </c>
    </row>
    <row r="67" spans="1:19">
      <c r="A67" s="821">
        <f t="shared" si="55"/>
        <v>2.5099999999999891</v>
      </c>
      <c r="B67" s="648" t="s">
        <v>1205</v>
      </c>
      <c r="C67" s="648">
        <f t="shared" si="0"/>
        <v>9904.2900000000009</v>
      </c>
      <c r="D67" s="648">
        <f t="shared" si="1"/>
        <v>20315.990000000002</v>
      </c>
      <c r="E67" s="803"/>
      <c r="F67" s="803"/>
      <c r="G67" s="803">
        <f t="shared" si="2"/>
        <v>15110</v>
      </c>
      <c r="H67" s="803"/>
      <c r="I67" s="803">
        <f t="shared" si="3"/>
        <v>160.44</v>
      </c>
      <c r="J67" s="803">
        <f t="shared" si="4"/>
        <v>0</v>
      </c>
      <c r="K67" s="803">
        <f t="shared" si="5"/>
        <v>14949.7</v>
      </c>
      <c r="L67" s="803"/>
      <c r="M67" s="648">
        <v>103</v>
      </c>
      <c r="N67" s="648"/>
      <c r="O67" s="648">
        <v>9801.2900000000009</v>
      </c>
      <c r="P67" s="803"/>
      <c r="Q67" s="648">
        <v>217.88</v>
      </c>
      <c r="R67" s="648"/>
      <c r="S67" s="648">
        <v>20098.11</v>
      </c>
    </row>
    <row r="68" spans="1:19">
      <c r="A68" s="821">
        <f t="shared" si="55"/>
        <v>2.5199999999999889</v>
      </c>
      <c r="B68" s="648" t="s">
        <v>1206</v>
      </c>
      <c r="C68" s="648">
        <f t="shared" si="0"/>
        <v>0</v>
      </c>
      <c r="D68" s="648">
        <f t="shared" si="1"/>
        <v>0</v>
      </c>
      <c r="E68" s="803"/>
      <c r="F68" s="803"/>
      <c r="G68" s="803">
        <f t="shared" si="2"/>
        <v>0</v>
      </c>
      <c r="H68" s="803"/>
      <c r="I68" s="803">
        <f t="shared" si="3"/>
        <v>0</v>
      </c>
      <c r="J68" s="803">
        <f t="shared" si="4"/>
        <v>0</v>
      </c>
      <c r="K68" s="803">
        <f t="shared" si="5"/>
        <v>0</v>
      </c>
      <c r="L68" s="803"/>
      <c r="M68" s="648">
        <v>0</v>
      </c>
      <c r="N68" s="648"/>
      <c r="O68" s="648">
        <v>0</v>
      </c>
      <c r="P68" s="803"/>
      <c r="Q68" s="648"/>
      <c r="R68" s="648"/>
      <c r="S68" s="648"/>
    </row>
    <row r="69" spans="1:19">
      <c r="A69" s="821">
        <f t="shared" si="55"/>
        <v>2.5299999999999887</v>
      </c>
      <c r="B69" s="648" t="s">
        <v>1207</v>
      </c>
      <c r="C69" s="648">
        <f t="shared" si="0"/>
        <v>131333.41</v>
      </c>
      <c r="D69" s="648">
        <f t="shared" si="1"/>
        <v>0</v>
      </c>
      <c r="E69" s="803"/>
      <c r="F69" s="803"/>
      <c r="G69" s="803">
        <f t="shared" si="2"/>
        <v>65667</v>
      </c>
      <c r="H69" s="803"/>
      <c r="I69" s="803">
        <f t="shared" si="3"/>
        <v>0</v>
      </c>
      <c r="J69" s="803">
        <f t="shared" si="4"/>
        <v>0</v>
      </c>
      <c r="K69" s="803">
        <f t="shared" si="5"/>
        <v>65666.705000000002</v>
      </c>
      <c r="L69" s="803"/>
      <c r="M69" s="648"/>
      <c r="N69" s="648"/>
      <c r="O69" s="648">
        <v>131333.41</v>
      </c>
      <c r="P69" s="803"/>
      <c r="Q69" s="648"/>
      <c r="R69" s="648"/>
      <c r="S69" s="648"/>
    </row>
    <row r="70" spans="1:19">
      <c r="A70" s="821">
        <f t="shared" si="55"/>
        <v>2.5399999999999885</v>
      </c>
      <c r="B70" s="648" t="s">
        <v>1208</v>
      </c>
      <c r="C70" s="648">
        <f t="shared" si="0"/>
        <v>-0.09</v>
      </c>
      <c r="D70" s="648">
        <f t="shared" si="1"/>
        <v>-0.09</v>
      </c>
      <c r="E70" s="803"/>
      <c r="F70" s="803"/>
      <c r="G70" s="803">
        <f t="shared" si="2"/>
        <v>0</v>
      </c>
      <c r="H70" s="803"/>
      <c r="I70" s="803">
        <f t="shared" si="3"/>
        <v>0</v>
      </c>
      <c r="J70" s="803">
        <f t="shared" si="4"/>
        <v>0</v>
      </c>
      <c r="K70" s="803">
        <f t="shared" si="5"/>
        <v>-0.09</v>
      </c>
      <c r="L70" s="803"/>
      <c r="M70" s="648"/>
      <c r="N70" s="648"/>
      <c r="O70" s="648">
        <v>-0.09</v>
      </c>
      <c r="P70" s="803"/>
      <c r="Q70" s="648"/>
      <c r="R70" s="648"/>
      <c r="S70" s="648">
        <v>-0.09</v>
      </c>
    </row>
    <row r="71" spans="1:19">
      <c r="A71" s="821">
        <f t="shared" si="55"/>
        <v>2.5499999999999883</v>
      </c>
      <c r="B71" s="648" t="s">
        <v>1209</v>
      </c>
      <c r="C71" s="648">
        <f t="shared" si="0"/>
        <v>-0.17</v>
      </c>
      <c r="D71" s="648">
        <f t="shared" si="1"/>
        <v>-0.17</v>
      </c>
      <c r="E71" s="803"/>
      <c r="F71" s="803"/>
      <c r="G71" s="803">
        <f t="shared" si="2"/>
        <v>0</v>
      </c>
      <c r="H71" s="803"/>
      <c r="I71" s="803">
        <f t="shared" si="3"/>
        <v>0</v>
      </c>
      <c r="J71" s="803">
        <f t="shared" si="4"/>
        <v>0</v>
      </c>
      <c r="K71" s="803">
        <f t="shared" si="5"/>
        <v>-0.17</v>
      </c>
      <c r="L71" s="803"/>
      <c r="M71" s="648"/>
      <c r="N71" s="648"/>
      <c r="O71" s="648">
        <v>-0.17</v>
      </c>
      <c r="P71" s="803"/>
      <c r="Q71" s="648"/>
      <c r="R71" s="648"/>
      <c r="S71" s="648">
        <v>-0.17</v>
      </c>
    </row>
    <row r="72" spans="1:19">
      <c r="A72" s="821">
        <f t="shared" si="55"/>
        <v>2.5599999999999881</v>
      </c>
      <c r="B72" s="648" t="s">
        <v>1210</v>
      </c>
      <c r="C72" s="648">
        <f t="shared" si="0"/>
        <v>145147.62</v>
      </c>
      <c r="D72" s="648">
        <f t="shared" si="1"/>
        <v>1454978.1</v>
      </c>
      <c r="E72" s="803"/>
      <c r="F72" s="803"/>
      <c r="G72" s="803">
        <f t="shared" si="2"/>
        <v>800063</v>
      </c>
      <c r="H72" s="803"/>
      <c r="I72" s="803">
        <f t="shared" si="3"/>
        <v>-45185.669999999984</v>
      </c>
      <c r="J72" s="803">
        <f t="shared" si="4"/>
        <v>97259.295000000013</v>
      </c>
      <c r="K72" s="803">
        <f t="shared" si="5"/>
        <v>747989.2350000001</v>
      </c>
      <c r="L72" s="803"/>
      <c r="M72" s="648">
        <v>-538023.12</v>
      </c>
      <c r="N72" s="648">
        <v>66377.850000000006</v>
      </c>
      <c r="O72" s="648">
        <v>616792.89</v>
      </c>
      <c r="P72" s="803"/>
      <c r="Q72" s="648">
        <v>447651.78</v>
      </c>
      <c r="R72" s="648">
        <v>128140.74</v>
      </c>
      <c r="S72" s="648">
        <v>879185.58000000007</v>
      </c>
    </row>
    <row r="73" spans="1:19">
      <c r="A73" s="821">
        <f t="shared" si="55"/>
        <v>2.5699999999999878</v>
      </c>
      <c r="B73" s="648" t="s">
        <v>1211</v>
      </c>
      <c r="C73" s="648">
        <f t="shared" si="0"/>
        <v>261230.16</v>
      </c>
      <c r="D73" s="648">
        <f t="shared" si="1"/>
        <v>0</v>
      </c>
      <c r="E73" s="803"/>
      <c r="F73" s="803"/>
      <c r="G73" s="803">
        <f t="shared" si="2"/>
        <v>130615</v>
      </c>
      <c r="H73" s="803"/>
      <c r="I73" s="803">
        <f t="shared" si="3"/>
        <v>130615.08</v>
      </c>
      <c r="J73" s="803">
        <f t="shared" si="4"/>
        <v>0</v>
      </c>
      <c r="K73" s="803">
        <f t="shared" si="5"/>
        <v>0</v>
      </c>
      <c r="L73" s="803"/>
      <c r="M73" s="648">
        <v>261230.16</v>
      </c>
      <c r="N73" s="648"/>
      <c r="O73" s="648"/>
      <c r="P73" s="803"/>
      <c r="Q73" s="648"/>
      <c r="R73" s="648"/>
      <c r="S73" s="648"/>
    </row>
    <row r="74" spans="1:19">
      <c r="A74" s="821">
        <f t="shared" si="55"/>
        <v>2.5799999999999876</v>
      </c>
      <c r="B74" s="648" t="s">
        <v>1212</v>
      </c>
      <c r="C74" s="648">
        <f t="shared" si="0"/>
        <v>-0.1</v>
      </c>
      <c r="D74" s="648">
        <f t="shared" si="1"/>
        <v>0</v>
      </c>
      <c r="E74" s="803"/>
      <c r="F74" s="803"/>
      <c r="G74" s="803">
        <f t="shared" si="2"/>
        <v>0</v>
      </c>
      <c r="H74" s="803"/>
      <c r="I74" s="803">
        <f t="shared" si="3"/>
        <v>-0.05</v>
      </c>
      <c r="J74" s="803">
        <f t="shared" si="4"/>
        <v>0</v>
      </c>
      <c r="K74" s="803">
        <f t="shared" si="5"/>
        <v>0</v>
      </c>
      <c r="L74" s="803"/>
      <c r="M74" s="648">
        <v>-0.1</v>
      </c>
      <c r="N74" s="648"/>
      <c r="O74" s="648"/>
      <c r="P74" s="803"/>
      <c r="Q74" s="648"/>
      <c r="R74" s="648"/>
      <c r="S74" s="648"/>
    </row>
    <row r="75" spans="1:19">
      <c r="A75" s="821">
        <f t="shared" si="55"/>
        <v>2.5899999999999874</v>
      </c>
      <c r="B75" s="648" t="s">
        <v>1213</v>
      </c>
      <c r="C75" s="648">
        <f t="shared" si="0"/>
        <v>0.21</v>
      </c>
      <c r="D75" s="648">
        <f t="shared" si="1"/>
        <v>0</v>
      </c>
      <c r="E75" s="803"/>
      <c r="F75" s="803"/>
      <c r="G75" s="803">
        <f t="shared" si="2"/>
        <v>0</v>
      </c>
      <c r="H75" s="803"/>
      <c r="I75" s="803">
        <f t="shared" si="3"/>
        <v>0.105</v>
      </c>
      <c r="J75" s="803">
        <f t="shared" si="4"/>
        <v>0</v>
      </c>
      <c r="K75" s="803">
        <f t="shared" si="5"/>
        <v>0</v>
      </c>
      <c r="L75" s="803"/>
      <c r="M75" s="648">
        <v>0.21</v>
      </c>
      <c r="N75" s="648"/>
      <c r="O75" s="648"/>
      <c r="P75" s="803"/>
      <c r="Q75" s="648"/>
      <c r="R75" s="648"/>
      <c r="S75" s="648"/>
    </row>
    <row r="76" spans="1:19">
      <c r="A76" s="821">
        <f t="shared" si="55"/>
        <v>2.5999999999999872</v>
      </c>
      <c r="B76" s="648" t="s">
        <v>1214</v>
      </c>
      <c r="C76" s="648">
        <f t="shared" si="0"/>
        <v>-0.21</v>
      </c>
      <c r="D76" s="648">
        <f t="shared" si="1"/>
        <v>0</v>
      </c>
      <c r="E76" s="803"/>
      <c r="F76" s="803"/>
      <c r="G76" s="803">
        <f t="shared" si="2"/>
        <v>0</v>
      </c>
      <c r="H76" s="803"/>
      <c r="I76" s="803">
        <f t="shared" si="3"/>
        <v>-0.105</v>
      </c>
      <c r="J76" s="803">
        <f t="shared" si="4"/>
        <v>0</v>
      </c>
      <c r="K76" s="803">
        <f t="shared" si="5"/>
        <v>0</v>
      </c>
      <c r="L76" s="803"/>
      <c r="M76" s="648">
        <v>-0.21</v>
      </c>
      <c r="N76" s="648"/>
      <c r="O76" s="648"/>
      <c r="P76" s="803"/>
      <c r="Q76" s="648"/>
      <c r="R76" s="648"/>
      <c r="S76" s="648"/>
    </row>
    <row r="77" spans="1:19">
      <c r="A77" s="821">
        <f t="shared" si="55"/>
        <v>2.609999999999987</v>
      </c>
      <c r="B77" s="648" t="s">
        <v>1215</v>
      </c>
      <c r="C77" s="648">
        <f t="shared" si="0"/>
        <v>-0.14000000000000001</v>
      </c>
      <c r="D77" s="648">
        <f t="shared" si="1"/>
        <v>0</v>
      </c>
      <c r="E77" s="803"/>
      <c r="F77" s="803"/>
      <c r="G77" s="803">
        <f t="shared" si="2"/>
        <v>0</v>
      </c>
      <c r="H77" s="803"/>
      <c r="I77" s="803">
        <f t="shared" si="3"/>
        <v>-7.0000000000000007E-2</v>
      </c>
      <c r="J77" s="803">
        <f t="shared" si="4"/>
        <v>0</v>
      </c>
      <c r="K77" s="803">
        <f t="shared" si="5"/>
        <v>0</v>
      </c>
      <c r="L77" s="803"/>
      <c r="M77" s="648">
        <v>-0.14000000000000001</v>
      </c>
      <c r="N77" s="648"/>
      <c r="O77" s="648"/>
      <c r="P77" s="803"/>
      <c r="Q77" s="648"/>
      <c r="R77" s="648"/>
      <c r="S77" s="648"/>
    </row>
    <row r="78" spans="1:19">
      <c r="A78" s="821">
        <f t="shared" si="55"/>
        <v>2.6199999999999868</v>
      </c>
      <c r="B78" s="648" t="s">
        <v>1216</v>
      </c>
      <c r="C78" s="648">
        <f t="shared" si="0"/>
        <v>-348244.2</v>
      </c>
      <c r="D78" s="648">
        <f t="shared" si="1"/>
        <v>-0.15</v>
      </c>
      <c r="E78" s="803"/>
      <c r="F78" s="803"/>
      <c r="G78" s="803">
        <f t="shared" si="2"/>
        <v>-174122</v>
      </c>
      <c r="H78" s="803"/>
      <c r="I78" s="803">
        <f t="shared" si="3"/>
        <v>-174122.17500000002</v>
      </c>
      <c r="J78" s="803">
        <f t="shared" si="4"/>
        <v>0</v>
      </c>
      <c r="K78" s="803">
        <f t="shared" si="5"/>
        <v>0</v>
      </c>
      <c r="L78" s="803"/>
      <c r="M78" s="648">
        <v>-348244.2</v>
      </c>
      <c r="N78" s="648"/>
      <c r="O78" s="648"/>
      <c r="P78" s="803"/>
      <c r="Q78" s="648">
        <v>-0.15</v>
      </c>
      <c r="R78" s="648"/>
      <c r="S78" s="648"/>
    </row>
    <row r="79" spans="1:19">
      <c r="A79" s="821">
        <f t="shared" si="55"/>
        <v>2.6299999999999866</v>
      </c>
      <c r="B79" s="648" t="s">
        <v>1217</v>
      </c>
      <c r="C79" s="648">
        <f t="shared" si="0"/>
        <v>0.01</v>
      </c>
      <c r="D79" s="648">
        <f t="shared" si="1"/>
        <v>0</v>
      </c>
      <c r="E79" s="803"/>
      <c r="F79" s="803"/>
      <c r="G79" s="803">
        <f t="shared" si="2"/>
        <v>0</v>
      </c>
      <c r="H79" s="803"/>
      <c r="I79" s="803">
        <f t="shared" si="3"/>
        <v>0</v>
      </c>
      <c r="J79" s="803">
        <f t="shared" si="4"/>
        <v>5.0000000000000001E-3</v>
      </c>
      <c r="K79" s="803">
        <f t="shared" si="5"/>
        <v>0</v>
      </c>
      <c r="L79" s="803"/>
      <c r="M79" s="648"/>
      <c r="N79" s="648">
        <v>0.01</v>
      </c>
      <c r="O79" s="648"/>
      <c r="P79" s="803"/>
      <c r="Q79" s="648"/>
      <c r="R79" s="648"/>
      <c r="S79" s="648"/>
    </row>
    <row r="80" spans="1:19">
      <c r="A80" s="821">
        <f t="shared" si="55"/>
        <v>2.6399999999999864</v>
      </c>
      <c r="B80" s="1051" t="s">
        <v>1070</v>
      </c>
      <c r="C80" s="1051">
        <f t="shared" ref="C80" si="74">SUM(M80:O80)</f>
        <v>41877969.285599999</v>
      </c>
      <c r="D80" s="1051">
        <f>SUM(Q80:S80)</f>
        <v>46923855.915299997</v>
      </c>
      <c r="E80" s="1052"/>
      <c r="F80" s="1052"/>
      <c r="G80" s="803">
        <f t="shared" ref="G80:G91" si="75">ROUND(SUM(C80:F80)/2,0)</f>
        <v>44400913</v>
      </c>
      <c r="H80" s="803"/>
      <c r="I80" s="803">
        <f t="shared" ref="I80:K80" si="76">(M80+Q80)/2</f>
        <v>16426366.661748491</v>
      </c>
      <c r="J80" s="803">
        <f t="shared" si="76"/>
        <v>11548179.276953015</v>
      </c>
      <c r="K80" s="803">
        <f t="shared" si="76"/>
        <v>16426366.661748491</v>
      </c>
      <c r="L80" s="803"/>
      <c r="M80" s="648">
        <v>15189597.988326922</v>
      </c>
      <c r="N80" s="648">
        <v>11498773.308946155</v>
      </c>
      <c r="O80" s="648">
        <v>15189597.988326922</v>
      </c>
      <c r="P80" s="803"/>
      <c r="Q80" s="648">
        <v>17663135.33517006</v>
      </c>
      <c r="R80" s="648">
        <v>11597585.244959878</v>
      </c>
      <c r="S80" s="648">
        <v>17663135.33517006</v>
      </c>
    </row>
    <row r="81" spans="1:256">
      <c r="A81" s="821">
        <f t="shared" si="55"/>
        <v>2.6499999999999861</v>
      </c>
      <c r="B81" s="1051" t="s">
        <v>1071</v>
      </c>
      <c r="C81" s="1051">
        <f>-E81</f>
        <v>-41877969.285599999</v>
      </c>
      <c r="D81" s="1051">
        <f>-F81</f>
        <v>-46923855.915299997</v>
      </c>
      <c r="E81" s="1052">
        <f>C80</f>
        <v>41877969.285599999</v>
      </c>
      <c r="F81" s="1052">
        <f>D80</f>
        <v>46923855.915299997</v>
      </c>
      <c r="G81" s="803">
        <f t="shared" si="75"/>
        <v>0</v>
      </c>
      <c r="H81" s="803"/>
      <c r="I81" s="803"/>
      <c r="J81" s="803"/>
      <c r="K81" s="803"/>
      <c r="L81" s="803"/>
      <c r="M81" s="1053"/>
      <c r="N81" s="1053"/>
      <c r="O81" s="1053"/>
      <c r="P81" s="803"/>
      <c r="Q81" s="1053"/>
      <c r="R81" s="1053"/>
      <c r="S81" s="1053"/>
    </row>
    <row r="82" spans="1:256">
      <c r="A82" s="821">
        <f t="shared" si="55"/>
        <v>2.6599999999999859</v>
      </c>
      <c r="B82" s="648" t="s">
        <v>931</v>
      </c>
      <c r="C82" s="648">
        <f>-E82</f>
        <v>-0.01</v>
      </c>
      <c r="D82" s="648">
        <f>-F82</f>
        <v>0</v>
      </c>
      <c r="E82" s="803">
        <v>0.01</v>
      </c>
      <c r="F82" s="803">
        <v>0</v>
      </c>
      <c r="G82" s="803">
        <f t="shared" si="75"/>
        <v>0</v>
      </c>
      <c r="H82" s="803"/>
      <c r="I82" s="803"/>
      <c r="J82" s="803"/>
      <c r="K82" s="803"/>
      <c r="L82" s="803"/>
      <c r="M82" s="803"/>
      <c r="N82" s="803"/>
      <c r="O82" s="803"/>
      <c r="P82" s="803"/>
      <c r="Q82" s="803"/>
      <c r="R82" s="803"/>
      <c r="S82" s="803"/>
    </row>
    <row r="83" spans="1:256">
      <c r="A83" s="821">
        <f t="shared" si="55"/>
        <v>2.6699999999999857</v>
      </c>
      <c r="B83" s="648" t="s">
        <v>932</v>
      </c>
      <c r="C83" s="648">
        <f t="shared" ref="C83:C89" si="77">-E83</f>
        <v>21237110.66</v>
      </c>
      <c r="D83" s="648">
        <f t="shared" ref="D83:D89" si="78">-F83</f>
        <v>19728194.640000001</v>
      </c>
      <c r="E83" s="803">
        <v>-21237110.66</v>
      </c>
      <c r="F83" s="803">
        <v>-19728194.640000001</v>
      </c>
      <c r="G83" s="803">
        <f t="shared" si="75"/>
        <v>0</v>
      </c>
      <c r="H83" s="803"/>
      <c r="I83" s="803"/>
      <c r="J83" s="803"/>
      <c r="K83" s="803"/>
      <c r="L83" s="803"/>
      <c r="M83" s="803"/>
      <c r="N83" s="803"/>
      <c r="O83" s="803"/>
      <c r="P83" s="803"/>
      <c r="Q83" s="803"/>
      <c r="R83" s="803"/>
      <c r="S83" s="803"/>
    </row>
    <row r="84" spans="1:256">
      <c r="A84" s="821">
        <f t="shared" si="55"/>
        <v>2.6799999999999855</v>
      </c>
      <c r="B84" s="648" t="s">
        <v>933</v>
      </c>
      <c r="C84" s="648">
        <f t="shared" si="77"/>
        <v>28689019.199999999</v>
      </c>
      <c r="D84" s="648">
        <f t="shared" si="78"/>
        <v>17890177.260000002</v>
      </c>
      <c r="E84" s="803">
        <v>-28689019.199999999</v>
      </c>
      <c r="F84" s="803">
        <v>-17890177.260000002</v>
      </c>
      <c r="G84" s="803">
        <f t="shared" si="75"/>
        <v>0</v>
      </c>
      <c r="H84" s="803"/>
      <c r="I84" s="803"/>
      <c r="J84" s="803"/>
      <c r="K84" s="803"/>
      <c r="L84" s="803"/>
      <c r="M84" s="803"/>
      <c r="N84" s="803"/>
      <c r="O84" s="803"/>
      <c r="P84" s="803"/>
      <c r="Q84" s="803"/>
      <c r="R84" s="803"/>
      <c r="S84" s="803"/>
    </row>
    <row r="85" spans="1:256">
      <c r="A85" s="821">
        <f t="shared" si="55"/>
        <v>2.6899999999999853</v>
      </c>
      <c r="B85" s="648" t="s">
        <v>1360</v>
      </c>
      <c r="C85" s="648">
        <f t="shared" si="77"/>
        <v>0</v>
      </c>
      <c r="D85" s="648">
        <f t="shared" si="78"/>
        <v>5467558.2000000002</v>
      </c>
      <c r="E85" s="803">
        <v>0</v>
      </c>
      <c r="F85" s="803">
        <v>-5467558.2000000002</v>
      </c>
      <c r="G85" s="803">
        <f t="shared" si="75"/>
        <v>0</v>
      </c>
      <c r="H85" s="803"/>
      <c r="I85" s="803"/>
      <c r="J85" s="803"/>
      <c r="K85" s="803"/>
      <c r="L85" s="803"/>
      <c r="M85" s="803"/>
      <c r="N85" s="803"/>
      <c r="O85" s="803"/>
      <c r="P85" s="803"/>
      <c r="Q85" s="803"/>
      <c r="R85" s="803"/>
      <c r="S85" s="803"/>
    </row>
    <row r="86" spans="1:256">
      <c r="A86" s="821">
        <f t="shared" si="55"/>
        <v>2.6999999999999851</v>
      </c>
      <c r="B86" s="648" t="s">
        <v>934</v>
      </c>
      <c r="C86" s="648">
        <f t="shared" si="77"/>
        <v>0</v>
      </c>
      <c r="D86" s="648">
        <f t="shared" si="78"/>
        <v>0</v>
      </c>
      <c r="E86" s="803">
        <v>0</v>
      </c>
      <c r="F86" s="803">
        <v>0</v>
      </c>
      <c r="G86" s="803">
        <f t="shared" si="75"/>
        <v>0</v>
      </c>
      <c r="H86" s="803"/>
      <c r="I86" s="803"/>
      <c r="J86" s="803"/>
      <c r="K86" s="803"/>
      <c r="L86" s="803"/>
      <c r="M86" s="803"/>
      <c r="N86" s="803"/>
      <c r="O86" s="803"/>
      <c r="P86" s="803"/>
      <c r="Q86" s="803"/>
      <c r="R86" s="803"/>
      <c r="S86" s="803"/>
    </row>
    <row r="87" spans="1:256">
      <c r="A87" s="821">
        <f t="shared" si="55"/>
        <v>2.7099999999999849</v>
      </c>
      <c r="B87" s="648" t="s">
        <v>935</v>
      </c>
      <c r="C87" s="648">
        <f t="shared" si="77"/>
        <v>0</v>
      </c>
      <c r="D87" s="648">
        <f t="shared" si="78"/>
        <v>0</v>
      </c>
      <c r="E87" s="803">
        <v>0</v>
      </c>
      <c r="F87" s="803">
        <v>0</v>
      </c>
      <c r="G87" s="803">
        <f t="shared" si="75"/>
        <v>0</v>
      </c>
      <c r="H87" s="803"/>
      <c r="I87" s="803"/>
      <c r="J87" s="803"/>
      <c r="K87" s="803"/>
      <c r="L87" s="803"/>
      <c r="M87" s="803"/>
      <c r="N87" s="803"/>
      <c r="O87" s="803"/>
      <c r="P87" s="803"/>
      <c r="Q87" s="803"/>
      <c r="R87" s="803"/>
      <c r="S87" s="803"/>
    </row>
    <row r="88" spans="1:256">
      <c r="A88" s="821">
        <f t="shared" si="55"/>
        <v>2.7199999999999847</v>
      </c>
      <c r="B88" s="648" t="s">
        <v>936</v>
      </c>
      <c r="C88" s="648">
        <f t="shared" si="77"/>
        <v>0</v>
      </c>
      <c r="D88" s="648">
        <f t="shared" si="78"/>
        <v>0</v>
      </c>
      <c r="E88" s="803">
        <v>0</v>
      </c>
      <c r="F88" s="803">
        <v>0</v>
      </c>
      <c r="G88" s="803">
        <f t="shared" si="75"/>
        <v>0</v>
      </c>
      <c r="H88" s="803"/>
      <c r="I88" s="803"/>
      <c r="J88" s="803"/>
      <c r="K88" s="803"/>
      <c r="L88" s="803"/>
      <c r="M88" s="803"/>
      <c r="N88" s="803"/>
      <c r="O88" s="803"/>
      <c r="P88" s="803"/>
      <c r="Q88" s="803"/>
      <c r="R88" s="803"/>
      <c r="S88" s="803"/>
    </row>
    <row r="89" spans="1:256">
      <c r="A89" s="821">
        <f t="shared" si="55"/>
        <v>2.7299999999999844</v>
      </c>
      <c r="B89" s="648" t="s">
        <v>937</v>
      </c>
      <c r="C89" s="648">
        <f t="shared" si="77"/>
        <v>0</v>
      </c>
      <c r="D89" s="648">
        <f t="shared" si="78"/>
        <v>0</v>
      </c>
      <c r="E89" s="803">
        <v>0</v>
      </c>
      <c r="F89" s="803">
        <v>0</v>
      </c>
      <c r="G89" s="803">
        <f t="shared" si="75"/>
        <v>0</v>
      </c>
      <c r="H89" s="803"/>
      <c r="I89" s="803"/>
      <c r="J89" s="803"/>
      <c r="K89" s="803"/>
      <c r="L89" s="803"/>
      <c r="M89" s="803"/>
      <c r="N89" s="803"/>
      <c r="O89" s="803"/>
      <c r="P89" s="803"/>
      <c r="Q89" s="803"/>
      <c r="R89" s="803"/>
      <c r="S89" s="803"/>
    </row>
    <row r="90" spans="1:256">
      <c r="A90" s="821">
        <f t="shared" si="55"/>
        <v>2.7399999999999842</v>
      </c>
      <c r="B90" s="648" t="s">
        <v>1170</v>
      </c>
      <c r="C90" s="648">
        <f t="shared" ref="C90" si="79">-E90</f>
        <v>408694.08999999997</v>
      </c>
      <c r="D90" s="648">
        <f t="shared" ref="D90" si="80">-F90</f>
        <v>436554.15</v>
      </c>
      <c r="E90" s="803">
        <v>-408694.08999999997</v>
      </c>
      <c r="F90" s="803">
        <v>-436554.15</v>
      </c>
      <c r="G90" s="803">
        <f t="shared" ref="G90" si="81">ROUND(SUM(C90:F90)/2,0)</f>
        <v>0</v>
      </c>
      <c r="H90" s="803"/>
      <c r="I90" s="803"/>
      <c r="J90" s="803"/>
      <c r="K90" s="803"/>
      <c r="L90" s="803"/>
      <c r="M90" s="803"/>
      <c r="N90" s="803"/>
      <c r="O90" s="803"/>
      <c r="P90" s="803"/>
      <c r="Q90" s="803"/>
      <c r="R90" s="803"/>
      <c r="S90" s="803"/>
    </row>
    <row r="91" spans="1:256">
      <c r="A91" s="821">
        <f>A90+0.01</f>
        <v>2.749999999999984</v>
      </c>
      <c r="B91" s="648" t="s">
        <v>938</v>
      </c>
      <c r="C91" s="648">
        <f>SUM(M91:O91)</f>
        <v>16476227.91</v>
      </c>
      <c r="D91" s="648">
        <f>SUM(Q91:S91)</f>
        <v>18404867.059999999</v>
      </c>
      <c r="E91" s="803"/>
      <c r="F91" s="803"/>
      <c r="G91" s="803">
        <f t="shared" si="75"/>
        <v>17440547</v>
      </c>
      <c r="H91" s="803"/>
      <c r="I91" s="803">
        <f t="shared" ref="I91:K91" si="82">(M91+Q91)/2</f>
        <v>16710058.375</v>
      </c>
      <c r="J91" s="803">
        <f t="shared" si="82"/>
        <v>0</v>
      </c>
      <c r="K91" s="803">
        <f t="shared" si="82"/>
        <v>730489.11</v>
      </c>
      <c r="L91" s="803"/>
      <c r="M91" s="805">
        <v>15015249.689999999</v>
      </c>
      <c r="N91" s="805">
        <v>0</v>
      </c>
      <c r="O91" s="805">
        <v>1460978.22</v>
      </c>
      <c r="P91" s="803"/>
      <c r="Q91" s="805">
        <v>18404867.059999999</v>
      </c>
      <c r="R91" s="805"/>
      <c r="S91" s="805"/>
    </row>
    <row r="92" spans="1:256">
      <c r="A92" s="143"/>
      <c r="B92" s="803"/>
      <c r="C92" s="803"/>
      <c r="D92" s="803"/>
      <c r="E92" s="803"/>
      <c r="F92" s="803"/>
      <c r="G92" s="803"/>
      <c r="H92" s="803"/>
      <c r="I92" s="803"/>
      <c r="J92" s="803"/>
      <c r="K92" s="803"/>
      <c r="L92" s="803"/>
      <c r="M92" s="803"/>
      <c r="N92" s="803"/>
      <c r="O92" s="803"/>
      <c r="P92" s="803"/>
      <c r="Q92" s="803"/>
      <c r="R92" s="803"/>
      <c r="S92" s="803"/>
    </row>
    <row r="93" spans="1:256" ht="13.5" thickBot="1">
      <c r="A93" s="1">
        <v>3</v>
      </c>
      <c r="B93" s="803" t="s">
        <v>741</v>
      </c>
      <c r="C93" s="813">
        <f>SUM(C17:C92)</f>
        <v>82133216.450000003</v>
      </c>
      <c r="D93" s="813">
        <f>SUM(D17:D92)</f>
        <v>82093445.859999999</v>
      </c>
      <c r="E93" s="813">
        <f>SUM(E17:E92)</f>
        <v>-8456854.6544000022</v>
      </c>
      <c r="F93" s="813">
        <f>SUM(F17:F92)</f>
        <v>3401371.6652999944</v>
      </c>
      <c r="G93" s="813">
        <f>SUM(G17:G92)</f>
        <v>79585592</v>
      </c>
      <c r="H93" s="803"/>
      <c r="I93" s="813">
        <f>SUM(I17:I92)</f>
        <v>47786197.541748486</v>
      </c>
      <c r="J93" s="813">
        <f>SUM(J17:J92)</f>
        <v>14217495.996953014</v>
      </c>
      <c r="K93" s="813">
        <f>SUM(K17:K92)</f>
        <v>17581896.121748492</v>
      </c>
      <c r="L93" s="803"/>
      <c r="M93" s="813">
        <f>SUM(M17:M92)</f>
        <v>43977009.628326923</v>
      </c>
      <c r="N93" s="813">
        <f>SUM(N17:N92)</f>
        <v>12000799.768946156</v>
      </c>
      <c r="O93" s="813">
        <f>SUM(O17:O92)</f>
        <v>17698552.398326922</v>
      </c>
      <c r="P93" s="803"/>
      <c r="Q93" s="813">
        <f>SUM(Q17:Q92)</f>
        <v>51595385.45517005</v>
      </c>
      <c r="R93" s="813">
        <f>SUM(R17:R92)</f>
        <v>16434192.224959878</v>
      </c>
      <c r="S93" s="813">
        <f>SUM(S17:S92)</f>
        <v>17465239.845170062</v>
      </c>
    </row>
    <row r="94" spans="1:256" ht="13.5" thickTop="1">
      <c r="A94" s="1">
        <v>4</v>
      </c>
      <c r="B94" s="20" t="s">
        <v>744</v>
      </c>
      <c r="C94" s="809">
        <f>C59</f>
        <v>18654929.41</v>
      </c>
      <c r="D94" s="809">
        <f>D59</f>
        <v>19342225.43</v>
      </c>
      <c r="E94" s="809">
        <f>E59</f>
        <v>0</v>
      </c>
      <c r="F94" s="809">
        <f t="shared" ref="F94:G94" si="83">F59</f>
        <v>0</v>
      </c>
      <c r="G94" s="809">
        <f t="shared" si="83"/>
        <v>18998577</v>
      </c>
      <c r="H94" s="4"/>
      <c r="I94" s="809">
        <f>I59</f>
        <v>18950688.84</v>
      </c>
      <c r="J94" s="809">
        <f t="shared" ref="J94:K94" si="84">J59</f>
        <v>0</v>
      </c>
      <c r="K94" s="809">
        <f t="shared" si="84"/>
        <v>47888.58</v>
      </c>
      <c r="L94" s="4"/>
      <c r="M94" s="809">
        <f>M59</f>
        <v>18609161.07</v>
      </c>
      <c r="N94" s="809">
        <f t="shared" ref="N94:O94" si="85">N59</f>
        <v>0</v>
      </c>
      <c r="O94" s="809">
        <f t="shared" si="85"/>
        <v>45768.340000000004</v>
      </c>
      <c r="P94" s="4"/>
      <c r="Q94" s="809">
        <f>Q59</f>
        <v>19292216.609999999</v>
      </c>
      <c r="R94" s="809">
        <f t="shared" ref="R94:S94" si="86">R59</f>
        <v>0</v>
      </c>
      <c r="S94" s="809">
        <f t="shared" si="86"/>
        <v>50008.82</v>
      </c>
      <c r="T94" s="4"/>
      <c r="IV94" s="803"/>
    </row>
    <row r="95" spans="1:256">
      <c r="I95" s="803"/>
    </row>
    <row r="99" spans="19:19">
      <c r="S99" s="803"/>
    </row>
    <row r="126" spans="7:7">
      <c r="G126" t="s">
        <v>116</v>
      </c>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pageSetUpPr fitToPage="1"/>
  </sheetPr>
  <dimension ref="A1:W91"/>
  <sheetViews>
    <sheetView tabSelected="1" zoomScale="85" zoomScaleNormal="85" workbookViewId="0">
      <pane ySplit="10" topLeftCell="A11" activePane="bottomLeft" state="frozen"/>
      <selection activeCell="D9" sqref="D9"/>
      <selection pane="bottomLeft" activeCell="D9" sqref="D9"/>
    </sheetView>
  </sheetViews>
  <sheetFormatPr defaultColWidth="10" defaultRowHeight="12"/>
  <cols>
    <col min="1" max="1" width="9.42578125" style="977" customWidth="1"/>
    <col min="2" max="2" width="20.85546875" style="978" customWidth="1"/>
    <col min="3" max="3" width="35.5703125" style="977" customWidth="1"/>
    <col min="4" max="4" width="12.85546875" style="977" customWidth="1"/>
    <col min="5" max="5" width="10.42578125" style="977" customWidth="1"/>
    <col min="6" max="6" width="16.42578125" style="977" customWidth="1"/>
    <col min="7" max="7" width="12" style="977" customWidth="1"/>
    <col min="8" max="8" width="14.28515625" style="977" bestFit="1" customWidth="1"/>
    <col min="9" max="9" width="18.85546875" style="977" customWidth="1"/>
    <col min="10" max="10" width="15.5703125" style="977" customWidth="1"/>
    <col min="11" max="11" width="16.140625" style="977" customWidth="1"/>
    <col min="12" max="13" width="15" style="977" customWidth="1"/>
    <col min="14" max="14" width="13.5703125" style="977" customWidth="1"/>
    <col min="15" max="15" width="15" style="977" customWidth="1"/>
    <col min="16" max="17" width="17.5703125" style="977" customWidth="1"/>
    <col min="18" max="18" width="33" style="977" customWidth="1"/>
    <col min="19" max="19" width="15" style="977" customWidth="1"/>
    <col min="20" max="21" width="14.5703125" style="977" bestFit="1" customWidth="1"/>
    <col min="22" max="22" width="10.5703125" style="977" bestFit="1" customWidth="1"/>
    <col min="23" max="16384" width="10" style="977"/>
  </cols>
  <sheetData>
    <row r="1" spans="1:23" ht="15">
      <c r="A1" s="981" t="s">
        <v>957</v>
      </c>
      <c r="B1" s="980"/>
      <c r="C1" s="980"/>
      <c r="D1" s="980"/>
      <c r="E1" s="980"/>
      <c r="F1" s="980"/>
      <c r="G1" s="980"/>
      <c r="H1" s="980"/>
      <c r="I1" s="980"/>
      <c r="J1" s="980"/>
      <c r="K1" s="980"/>
      <c r="L1" s="980"/>
      <c r="M1" s="980"/>
      <c r="N1" s="980"/>
      <c r="O1" s="980"/>
      <c r="P1" s="980"/>
      <c r="Q1" s="980"/>
      <c r="R1" s="1010"/>
      <c r="S1" s="980"/>
      <c r="T1" s="980"/>
      <c r="U1" s="980"/>
      <c r="V1" s="980"/>
      <c r="W1" s="980"/>
    </row>
    <row r="2" spans="1:23" ht="15">
      <c r="A2" s="981" t="s">
        <v>958</v>
      </c>
      <c r="B2" s="980"/>
      <c r="C2" s="980"/>
      <c r="D2" s="980"/>
      <c r="E2" s="980"/>
      <c r="F2" s="980"/>
      <c r="G2" s="980"/>
      <c r="H2" s="980"/>
      <c r="I2" s="980"/>
      <c r="J2" s="980"/>
      <c r="K2" s="980"/>
      <c r="L2" s="980"/>
      <c r="M2" s="980"/>
      <c r="N2" s="980"/>
      <c r="O2" s="980"/>
      <c r="P2" s="980"/>
      <c r="Q2" s="980"/>
      <c r="R2" s="1010"/>
      <c r="S2" s="980"/>
      <c r="T2" s="980"/>
      <c r="U2" s="980"/>
      <c r="V2" s="983"/>
      <c r="W2" s="980"/>
    </row>
    <row r="3" spans="1:23" ht="15">
      <c r="A3" s="981" t="s">
        <v>959</v>
      </c>
      <c r="B3" s="980"/>
      <c r="C3" s="980"/>
      <c r="D3" s="980"/>
      <c r="E3" s="980"/>
      <c r="F3" s="980"/>
      <c r="G3" s="980"/>
      <c r="H3" s="980"/>
      <c r="I3" s="980"/>
      <c r="J3" s="980"/>
      <c r="K3" s="980"/>
      <c r="L3" s="980"/>
      <c r="M3" s="980"/>
      <c r="N3" s="980"/>
      <c r="O3" s="980"/>
      <c r="P3" s="980"/>
      <c r="Q3" s="980"/>
      <c r="R3" s="1010"/>
      <c r="S3" s="980"/>
      <c r="T3" s="980"/>
      <c r="U3" s="980"/>
      <c r="V3" s="979"/>
      <c r="W3" s="980"/>
    </row>
    <row r="4" spans="1:23" ht="15">
      <c r="A4" s="981" t="s">
        <v>1355</v>
      </c>
      <c r="B4" s="980"/>
      <c r="C4" s="980"/>
      <c r="D4" s="980"/>
      <c r="E4" s="980"/>
      <c r="F4" s="980"/>
      <c r="G4" s="984"/>
      <c r="H4" s="980"/>
      <c r="I4" s="980"/>
      <c r="J4" s="980"/>
      <c r="K4" s="980"/>
      <c r="L4" s="980"/>
      <c r="M4" s="980"/>
      <c r="N4" s="980"/>
      <c r="O4" s="980"/>
      <c r="P4" s="980"/>
      <c r="Q4" s="980"/>
      <c r="R4" s="980"/>
      <c r="S4" s="980"/>
      <c r="T4" s="980"/>
      <c r="U4" s="980"/>
      <c r="V4" s="980"/>
      <c r="W4" s="980"/>
    </row>
    <row r="5" spans="1:23" ht="15">
      <c r="A5" s="981" t="s">
        <v>960</v>
      </c>
      <c r="B5" s="980"/>
      <c r="C5" s="980"/>
      <c r="D5" s="980"/>
      <c r="E5" s="980"/>
      <c r="F5" s="980"/>
      <c r="G5" s="980"/>
      <c r="H5" s="980"/>
      <c r="I5" s="985"/>
      <c r="J5" s="985"/>
      <c r="K5" s="980"/>
      <c r="L5" s="980"/>
      <c r="M5" s="980"/>
      <c r="N5" s="980"/>
      <c r="O5" s="980"/>
      <c r="P5" s="985"/>
      <c r="Q5" s="985"/>
      <c r="R5" s="980"/>
      <c r="S5" s="980"/>
      <c r="T5" s="980"/>
      <c r="U5" s="980"/>
      <c r="V5" s="980"/>
      <c r="W5" s="980"/>
    </row>
    <row r="6" spans="1:23" ht="15">
      <c r="A6" s="980"/>
      <c r="B6" s="980"/>
      <c r="C6" s="980"/>
      <c r="D6" s="980"/>
      <c r="E6" s="980"/>
      <c r="F6" s="980"/>
      <c r="G6" s="980"/>
      <c r="H6" s="980"/>
      <c r="I6" s="980"/>
      <c r="J6" s="985"/>
      <c r="K6" s="986"/>
      <c r="L6" s="982"/>
      <c r="M6" s="982"/>
      <c r="N6" s="982"/>
      <c r="O6" s="982"/>
      <c r="P6" s="982"/>
      <c r="Q6" s="982"/>
      <c r="R6" s="980"/>
      <c r="S6" s="980"/>
      <c r="T6" s="980"/>
      <c r="U6" s="980"/>
      <c r="V6" s="980"/>
      <c r="W6" s="980"/>
    </row>
    <row r="7" spans="1:23" ht="15">
      <c r="A7" s="980"/>
      <c r="B7" s="987"/>
      <c r="C7" s="987"/>
      <c r="D7" s="987"/>
      <c r="E7" s="987"/>
      <c r="F7" s="987"/>
      <c r="G7" s="987"/>
      <c r="H7" s="987"/>
      <c r="I7" s="987"/>
      <c r="J7" s="987"/>
      <c r="K7" s="987"/>
      <c r="L7" s="987"/>
      <c r="M7" s="987"/>
      <c r="N7" s="987"/>
      <c r="O7" s="987"/>
      <c r="P7" s="987"/>
      <c r="Q7" s="982"/>
      <c r="R7" s="980"/>
      <c r="S7" s="980"/>
      <c r="T7" s="980"/>
      <c r="U7" s="980"/>
      <c r="V7" s="980"/>
      <c r="W7" s="980"/>
    </row>
    <row r="8" spans="1:23" ht="15">
      <c r="A8" s="982" t="s">
        <v>150</v>
      </c>
      <c r="B8" s="982" t="s">
        <v>151</v>
      </c>
      <c r="C8" s="982" t="s">
        <v>152</v>
      </c>
      <c r="D8" s="982" t="s">
        <v>153</v>
      </c>
      <c r="E8" s="982" t="s">
        <v>154</v>
      </c>
      <c r="F8" s="982" t="s">
        <v>155</v>
      </c>
      <c r="G8" s="982" t="s">
        <v>156</v>
      </c>
      <c r="H8" s="982" t="s">
        <v>157</v>
      </c>
      <c r="I8" s="982" t="s">
        <v>961</v>
      </c>
      <c r="J8" s="982" t="s">
        <v>962</v>
      </c>
      <c r="K8" s="982" t="s">
        <v>160</v>
      </c>
      <c r="L8" s="982" t="s">
        <v>161</v>
      </c>
      <c r="M8" s="982" t="s">
        <v>162</v>
      </c>
      <c r="N8" s="982" t="s">
        <v>247</v>
      </c>
      <c r="O8" s="982" t="s">
        <v>306</v>
      </c>
      <c r="P8" s="982" t="s">
        <v>352</v>
      </c>
      <c r="Q8" s="982" t="s">
        <v>353</v>
      </c>
      <c r="R8" s="982" t="s">
        <v>354</v>
      </c>
      <c r="S8" s="980"/>
      <c r="T8" s="980"/>
      <c r="U8" s="980"/>
      <c r="V8" s="980"/>
      <c r="W8" s="980"/>
    </row>
    <row r="9" spans="1:23" ht="14.45" customHeight="1">
      <c r="A9" s="981" t="s">
        <v>963</v>
      </c>
      <c r="B9" s="980"/>
      <c r="C9" s="980"/>
      <c r="D9" s="980"/>
      <c r="E9" s="980"/>
      <c r="F9" s="980"/>
      <c r="G9" s="980"/>
      <c r="H9" s="980"/>
      <c r="I9" s="1224" t="s">
        <v>1356</v>
      </c>
      <c r="J9" s="1224"/>
      <c r="K9" s="1225" t="s">
        <v>964</v>
      </c>
      <c r="L9" s="1225"/>
      <c r="M9" s="1225"/>
      <c r="N9" s="1226" t="s">
        <v>965</v>
      </c>
      <c r="O9" s="1226"/>
      <c r="P9" s="1224" t="s">
        <v>1357</v>
      </c>
      <c r="Q9" s="1224"/>
      <c r="R9" s="980"/>
      <c r="S9" s="980"/>
      <c r="T9" s="980"/>
      <c r="U9" s="980"/>
      <c r="V9" s="980"/>
      <c r="W9" s="980"/>
    </row>
    <row r="10" spans="1:23" ht="72">
      <c r="A10" s="989" t="s">
        <v>966</v>
      </c>
      <c r="B10" s="1099" t="s">
        <v>1130</v>
      </c>
      <c r="C10" s="1100" t="s">
        <v>967</v>
      </c>
      <c r="D10" s="1099" t="s">
        <v>968</v>
      </c>
      <c r="E10" s="1099" t="s">
        <v>969</v>
      </c>
      <c r="F10" s="1099" t="s">
        <v>1131</v>
      </c>
      <c r="G10" s="1099" t="s">
        <v>1132</v>
      </c>
      <c r="H10" s="1099" t="s">
        <v>970</v>
      </c>
      <c r="I10" s="1101" t="s">
        <v>1133</v>
      </c>
      <c r="J10" s="1101" t="s">
        <v>1134</v>
      </c>
      <c r="K10" s="1099" t="s">
        <v>971</v>
      </c>
      <c r="L10" s="1102" t="s">
        <v>1139</v>
      </c>
      <c r="M10" s="1102" t="s">
        <v>1140</v>
      </c>
      <c r="N10" s="1099" t="s">
        <v>1135</v>
      </c>
      <c r="O10" s="1099" t="s">
        <v>972</v>
      </c>
      <c r="P10" s="1101" t="s">
        <v>1136</v>
      </c>
      <c r="Q10" s="1101" t="s">
        <v>1137</v>
      </c>
      <c r="R10" s="990" t="s">
        <v>973</v>
      </c>
      <c r="S10" s="981"/>
      <c r="T10" s="980"/>
      <c r="U10" s="980"/>
      <c r="V10" s="980"/>
      <c r="W10" s="980"/>
    </row>
    <row r="11" spans="1:23" ht="15">
      <c r="A11" s="980"/>
      <c r="B11" s="981"/>
      <c r="C11" s="980"/>
      <c r="D11" s="991"/>
      <c r="E11" s="991"/>
      <c r="F11" s="991"/>
      <c r="G11" s="991"/>
      <c r="H11" s="991"/>
      <c r="I11" s="991"/>
      <c r="J11" s="991"/>
      <c r="K11" s="991"/>
      <c r="L11" s="991"/>
      <c r="M11" s="991"/>
      <c r="N11" s="991"/>
      <c r="O11" s="991"/>
      <c r="P11" s="1227" t="s">
        <v>974</v>
      </c>
      <c r="Q11" s="1227"/>
      <c r="R11" s="1015"/>
      <c r="S11" s="981"/>
      <c r="T11" s="980"/>
      <c r="U11" s="980"/>
      <c r="V11" s="980"/>
      <c r="W11" s="980"/>
    </row>
    <row r="12" spans="1:23" ht="15">
      <c r="A12" s="980"/>
      <c r="B12" s="992" t="s">
        <v>975</v>
      </c>
      <c r="C12" s="993"/>
      <c r="D12" s="993"/>
      <c r="E12" s="993"/>
      <c r="F12" s="993"/>
      <c r="G12" s="993"/>
      <c r="H12" s="993"/>
      <c r="I12" s="993"/>
      <c r="J12" s="993"/>
      <c r="K12" s="993"/>
      <c r="L12" s="993"/>
      <c r="M12" s="993"/>
      <c r="N12" s="993"/>
      <c r="O12" s="993"/>
      <c r="P12" s="993"/>
      <c r="Q12" s="993"/>
      <c r="R12" s="979"/>
      <c r="S12" s="979"/>
      <c r="T12" s="979"/>
      <c r="U12" s="979"/>
      <c r="V12" s="979"/>
      <c r="W12" s="979"/>
    </row>
    <row r="13" spans="1:23">
      <c r="A13" s="981" t="s">
        <v>976</v>
      </c>
      <c r="B13" s="1008" t="s">
        <v>977</v>
      </c>
      <c r="C13" s="981" t="s">
        <v>1387</v>
      </c>
      <c r="D13" s="981" t="s">
        <v>1384</v>
      </c>
      <c r="E13" s="981" t="s">
        <v>980</v>
      </c>
      <c r="F13" s="982"/>
      <c r="G13" s="981"/>
      <c r="H13" s="981"/>
      <c r="I13" s="1148">
        <v>28689020.212920081</v>
      </c>
      <c r="J13" s="1149" t="s">
        <v>116</v>
      </c>
      <c r="K13" s="1148"/>
      <c r="L13" s="1148"/>
      <c r="M13" s="1148">
        <v>-6553308.9399999995</v>
      </c>
      <c r="N13" s="1148"/>
      <c r="O13" s="1148"/>
      <c r="P13" s="1150">
        <f>SUM(I13:O13)</f>
        <v>22135711.27292008</v>
      </c>
      <c r="Q13" s="1151" t="s">
        <v>116</v>
      </c>
      <c r="R13" s="994" t="s">
        <v>1141</v>
      </c>
      <c r="S13" s="979"/>
      <c r="T13" s="979"/>
      <c r="U13" s="979"/>
      <c r="V13" s="979"/>
      <c r="W13" s="979"/>
    </row>
    <row r="14" spans="1:23">
      <c r="A14" s="981" t="s">
        <v>981</v>
      </c>
      <c r="B14" s="1008" t="s">
        <v>982</v>
      </c>
      <c r="C14" s="987" t="s">
        <v>983</v>
      </c>
      <c r="D14" s="987" t="s">
        <v>984</v>
      </c>
      <c r="E14" s="981" t="s">
        <v>980</v>
      </c>
      <c r="F14" s="995">
        <v>-22201492</v>
      </c>
      <c r="G14" s="981"/>
      <c r="H14" s="981"/>
      <c r="I14" s="999"/>
      <c r="J14" s="994">
        <v>-15502878.299965171</v>
      </c>
      <c r="K14" s="1152"/>
      <c r="L14" s="1152"/>
      <c r="M14" s="1152"/>
      <c r="N14" s="1152">
        <v>521893.02652802231</v>
      </c>
      <c r="O14" s="1152"/>
      <c r="P14" s="1153"/>
      <c r="Q14" s="1150">
        <f>SUM(I14:O14)</f>
        <v>-14980985.273437148</v>
      </c>
      <c r="R14" s="994" t="s">
        <v>638</v>
      </c>
      <c r="S14" s="979"/>
      <c r="T14" s="979"/>
      <c r="U14" s="979"/>
      <c r="V14" s="979"/>
      <c r="W14" s="979"/>
    </row>
    <row r="15" spans="1:23">
      <c r="A15" s="981" t="s">
        <v>985</v>
      </c>
      <c r="B15" s="1008" t="s">
        <v>986</v>
      </c>
      <c r="C15" s="987" t="s">
        <v>987</v>
      </c>
      <c r="D15" s="987" t="s">
        <v>984</v>
      </c>
      <c r="E15" s="981" t="s">
        <v>980</v>
      </c>
      <c r="F15" s="982"/>
      <c r="G15" s="981"/>
      <c r="H15" s="981"/>
      <c r="I15" s="994">
        <v>15502878.299965167</v>
      </c>
      <c r="J15" s="999"/>
      <c r="K15" s="1152"/>
      <c r="L15" s="1152"/>
      <c r="M15" s="1152">
        <v>-521893.02652802231</v>
      </c>
      <c r="N15" s="1152"/>
      <c r="O15" s="1152"/>
      <c r="P15" s="1150">
        <f>SUM(I15:O15)</f>
        <v>14980985.273437144</v>
      </c>
      <c r="Q15" s="1153"/>
      <c r="R15" s="994" t="s">
        <v>1037</v>
      </c>
      <c r="S15" s="979"/>
      <c r="T15" s="979"/>
      <c r="U15" s="979"/>
      <c r="V15" s="979"/>
      <c r="W15" s="979"/>
    </row>
    <row r="16" spans="1:23">
      <c r="A16" s="981" t="s">
        <v>988</v>
      </c>
      <c r="B16" s="1008" t="s">
        <v>989</v>
      </c>
      <c r="C16" s="981" t="s">
        <v>990</v>
      </c>
      <c r="D16" s="981" t="s">
        <v>984</v>
      </c>
      <c r="E16" s="981" t="s">
        <v>980</v>
      </c>
      <c r="F16" s="995">
        <v>-92216055</v>
      </c>
      <c r="G16" s="988" t="s">
        <v>991</v>
      </c>
      <c r="H16" s="988" t="s">
        <v>992</v>
      </c>
      <c r="I16" s="999" t="s">
        <v>116</v>
      </c>
      <c r="J16" s="1011">
        <v>-66885735.142734811</v>
      </c>
      <c r="K16" s="1011"/>
      <c r="L16" s="1011"/>
      <c r="M16" s="1011"/>
      <c r="N16" s="1011">
        <v>1822084.4239102104</v>
      </c>
      <c r="O16" s="1011"/>
      <c r="P16" s="1012" t="s">
        <v>116</v>
      </c>
      <c r="Q16" s="1150">
        <f>SUM(I16:O16)</f>
        <v>-65063650.718824603</v>
      </c>
      <c r="R16" s="1221" t="s">
        <v>1043</v>
      </c>
      <c r="S16" s="979"/>
      <c r="T16" s="979"/>
      <c r="U16" s="979"/>
      <c r="V16" s="979"/>
      <c r="W16" s="979"/>
    </row>
    <row r="17" spans="1:23">
      <c r="A17" s="981" t="s">
        <v>993</v>
      </c>
      <c r="B17" s="1008" t="s">
        <v>989</v>
      </c>
      <c r="C17" s="981" t="s">
        <v>990</v>
      </c>
      <c r="D17" s="981" t="s">
        <v>994</v>
      </c>
      <c r="E17" s="981" t="s">
        <v>980</v>
      </c>
      <c r="F17" s="996">
        <v>-58572784</v>
      </c>
      <c r="G17" s="988" t="s">
        <v>995</v>
      </c>
      <c r="H17" s="988" t="s">
        <v>996</v>
      </c>
      <c r="I17" s="999"/>
      <c r="J17" s="1152">
        <v>-4844143.983337719</v>
      </c>
      <c r="K17" s="1152"/>
      <c r="L17" s="1152"/>
      <c r="M17" s="1152"/>
      <c r="N17" s="1152">
        <v>1199704.0549268383</v>
      </c>
      <c r="O17" s="1152"/>
      <c r="P17" s="1154"/>
      <c r="Q17" s="1150">
        <f>SUM(I17:O17)</f>
        <v>-3644439.9284108807</v>
      </c>
      <c r="R17" s="1221"/>
      <c r="S17" s="979"/>
      <c r="T17" s="979"/>
      <c r="U17" s="979"/>
      <c r="V17" s="979"/>
      <c r="W17" s="979"/>
    </row>
    <row r="18" spans="1:23">
      <c r="A18" s="981" t="s">
        <v>997</v>
      </c>
      <c r="B18" s="1008" t="s">
        <v>998</v>
      </c>
      <c r="C18" s="981" t="s">
        <v>999</v>
      </c>
      <c r="D18" s="981" t="s">
        <v>984</v>
      </c>
      <c r="E18" s="981" t="s">
        <v>980</v>
      </c>
      <c r="F18" s="996"/>
      <c r="G18" s="988"/>
      <c r="H18" s="988"/>
      <c r="I18" s="1152">
        <v>68644488.142734811</v>
      </c>
      <c r="J18" s="999"/>
      <c r="K18" s="1152"/>
      <c r="L18" s="1152"/>
      <c r="M18" s="1152">
        <v>-1822084.4239102101</v>
      </c>
      <c r="N18" s="1152"/>
      <c r="O18" s="1152"/>
      <c r="P18" s="1150">
        <f>SUM(I18:O18)</f>
        <v>66822403.718824603</v>
      </c>
      <c r="Q18" s="1155"/>
      <c r="R18" s="1223" t="s">
        <v>1142</v>
      </c>
      <c r="S18" s="979"/>
      <c r="T18" s="979"/>
      <c r="U18" s="979"/>
      <c r="V18" s="979"/>
      <c r="W18" s="979"/>
    </row>
    <row r="19" spans="1:23">
      <c r="A19" s="981" t="s">
        <v>1000</v>
      </c>
      <c r="B19" s="1008" t="s">
        <v>998</v>
      </c>
      <c r="C19" s="981" t="s">
        <v>999</v>
      </c>
      <c r="D19" s="981" t="s">
        <v>994</v>
      </c>
      <c r="E19" s="981" t="s">
        <v>980</v>
      </c>
      <c r="F19" s="996"/>
      <c r="G19" s="988"/>
      <c r="H19" s="988"/>
      <c r="I19" s="1152">
        <v>3085387.9833377223</v>
      </c>
      <c r="J19" s="999"/>
      <c r="K19" s="1152"/>
      <c r="L19" s="1152"/>
      <c r="M19" s="1152">
        <v>-1199704.0549268383</v>
      </c>
      <c r="N19" s="1152"/>
      <c r="O19" s="1152"/>
      <c r="P19" s="1150">
        <f>SUM(I19:O19)</f>
        <v>1885683.928410884</v>
      </c>
      <c r="Q19" s="1155"/>
      <c r="R19" s="1223"/>
      <c r="S19" s="979"/>
      <c r="T19" s="979"/>
      <c r="U19" s="979"/>
      <c r="V19" s="979"/>
      <c r="W19" s="979"/>
    </row>
    <row r="20" spans="1:23">
      <c r="A20" s="981" t="s">
        <v>1001</v>
      </c>
      <c r="B20" s="1008" t="s">
        <v>1002</v>
      </c>
      <c r="C20" s="981" t="s">
        <v>1003</v>
      </c>
      <c r="D20" s="981" t="s">
        <v>994</v>
      </c>
      <c r="E20" s="981" t="s">
        <v>980</v>
      </c>
      <c r="F20" s="996">
        <v>-39072283</v>
      </c>
      <c r="G20" s="988" t="s">
        <v>995</v>
      </c>
      <c r="H20" s="988" t="s">
        <v>996</v>
      </c>
      <c r="I20" s="999" t="s">
        <v>116</v>
      </c>
      <c r="J20" s="1152">
        <v>971028.30619418074</v>
      </c>
      <c r="K20" s="1152"/>
      <c r="L20" s="1152"/>
      <c r="M20" s="1152"/>
      <c r="N20" s="1152">
        <v>-554394.15148176998</v>
      </c>
      <c r="O20" s="1152"/>
      <c r="P20" s="1154" t="s">
        <v>116</v>
      </c>
      <c r="Q20" s="1150">
        <f>SUM(I20:O20)</f>
        <v>416634.15471241076</v>
      </c>
      <c r="R20" s="994" t="s">
        <v>1143</v>
      </c>
      <c r="S20" s="979"/>
      <c r="T20" s="979"/>
      <c r="U20" s="979"/>
      <c r="V20" s="979"/>
      <c r="W20" s="979"/>
    </row>
    <row r="21" spans="1:23">
      <c r="A21" s="981" t="s">
        <v>1004</v>
      </c>
      <c r="B21" s="1008" t="s">
        <v>1005</v>
      </c>
      <c r="C21" s="981" t="s">
        <v>1006</v>
      </c>
      <c r="D21" s="981" t="s">
        <v>994</v>
      </c>
      <c r="E21" s="981" t="s">
        <v>980</v>
      </c>
      <c r="F21" s="995"/>
      <c r="G21" s="988"/>
      <c r="H21" s="988"/>
      <c r="I21" s="1152">
        <v>-971028.30619418062</v>
      </c>
      <c r="J21" s="1155"/>
      <c r="K21" s="1152"/>
      <c r="L21" s="1152"/>
      <c r="M21" s="1152">
        <v>554394.15148176998</v>
      </c>
      <c r="N21" s="1152"/>
      <c r="O21" s="1152"/>
      <c r="P21" s="1150">
        <f>SUM(I21:O21)</f>
        <v>-416634.15471241064</v>
      </c>
      <c r="Q21" s="1154"/>
      <c r="R21" s="1009" t="s">
        <v>1144</v>
      </c>
      <c r="S21" s="979"/>
      <c r="T21" s="979"/>
      <c r="U21" s="979"/>
      <c r="V21" s="979"/>
      <c r="W21" s="979"/>
    </row>
    <row r="22" spans="1:23">
      <c r="A22" s="977" t="s">
        <v>1007</v>
      </c>
      <c r="B22" s="1160" t="s">
        <v>1102</v>
      </c>
      <c r="C22" s="977" t="s">
        <v>1380</v>
      </c>
      <c r="D22" s="977" t="s">
        <v>1384</v>
      </c>
      <c r="E22" s="977" t="s">
        <v>980</v>
      </c>
      <c r="F22" s="1161"/>
      <c r="G22" s="1162"/>
      <c r="H22" s="1162"/>
      <c r="I22" s="1163"/>
      <c r="J22" s="1164"/>
      <c r="K22" s="1164"/>
      <c r="L22" s="1164"/>
      <c r="M22" s="1164"/>
      <c r="N22" s="1164">
        <v>4245533.4576660432</v>
      </c>
      <c r="O22" s="1164"/>
      <c r="P22" s="1165"/>
      <c r="Q22" s="1166">
        <f>SUM(J22:O22)</f>
        <v>4245533.4576660432</v>
      </c>
      <c r="R22" s="1009"/>
      <c r="S22" s="979"/>
      <c r="T22" s="979"/>
      <c r="U22" s="979"/>
      <c r="V22" s="979"/>
      <c r="W22" s="979"/>
    </row>
    <row r="23" spans="1:23">
      <c r="A23" s="977" t="s">
        <v>1389</v>
      </c>
      <c r="B23" s="1160" t="s">
        <v>1381</v>
      </c>
      <c r="C23" s="977" t="s">
        <v>978</v>
      </c>
      <c r="D23" s="977" t="s">
        <v>1384</v>
      </c>
      <c r="E23" s="977" t="s">
        <v>980</v>
      </c>
      <c r="F23" s="1161"/>
      <c r="G23" s="1162"/>
      <c r="H23" s="1162"/>
      <c r="I23" s="1164"/>
      <c r="J23" s="1163"/>
      <c r="K23" s="1164"/>
      <c r="L23" s="1164">
        <v>-4245533.4576660432</v>
      </c>
      <c r="M23" s="1164"/>
      <c r="N23" s="1164"/>
      <c r="O23" s="1164"/>
      <c r="P23" s="1166">
        <f t="shared" ref="P23:P27" si="0">SUM(I23:O23)</f>
        <v>-4245533.4576660432</v>
      </c>
      <c r="Q23" s="1165"/>
      <c r="R23" s="1009"/>
      <c r="S23" s="979"/>
      <c r="T23" s="979"/>
      <c r="U23" s="979"/>
      <c r="V23" s="979"/>
      <c r="W23" s="979"/>
    </row>
    <row r="24" spans="1:23">
      <c r="A24" s="977" t="s">
        <v>1390</v>
      </c>
      <c r="B24" s="1160" t="s">
        <v>1382</v>
      </c>
      <c r="C24" s="977" t="s">
        <v>1383</v>
      </c>
      <c r="D24" s="977" t="s">
        <v>1384</v>
      </c>
      <c r="E24" s="977" t="s">
        <v>1385</v>
      </c>
      <c r="F24" s="1161"/>
      <c r="G24" s="1162"/>
      <c r="H24" s="1162"/>
      <c r="I24" s="1164"/>
      <c r="J24" s="1163"/>
      <c r="K24" s="1164"/>
      <c r="L24" s="1164"/>
      <c r="M24" s="1164">
        <v>5467558.1999999993</v>
      </c>
      <c r="N24" s="1164"/>
      <c r="O24" s="1164"/>
      <c r="P24" s="1166">
        <f t="shared" si="0"/>
        <v>5467558.1999999993</v>
      </c>
      <c r="Q24" s="1165"/>
      <c r="R24" s="1009"/>
      <c r="S24" s="979"/>
      <c r="T24" s="979"/>
      <c r="U24" s="979"/>
      <c r="V24" s="979"/>
      <c r="W24" s="979"/>
    </row>
    <row r="25" spans="1:23">
      <c r="A25" s="977" t="s">
        <v>1391</v>
      </c>
      <c r="B25" s="1160" t="s">
        <v>1386</v>
      </c>
      <c r="C25" s="977" t="s">
        <v>1387</v>
      </c>
      <c r="D25" s="977" t="s">
        <v>984</v>
      </c>
      <c r="E25" s="977" t="s">
        <v>980</v>
      </c>
      <c r="F25" s="1161"/>
      <c r="G25" s="1162"/>
      <c r="H25" s="1162"/>
      <c r="I25" s="1164"/>
      <c r="J25" s="1163"/>
      <c r="K25" s="1164"/>
      <c r="L25" s="1164"/>
      <c r="M25" s="1164"/>
      <c r="N25" s="1164"/>
      <c r="O25" s="1164"/>
      <c r="P25" s="1166">
        <f t="shared" si="0"/>
        <v>0</v>
      </c>
      <c r="Q25" s="1165"/>
      <c r="R25" s="1009"/>
      <c r="S25" s="979"/>
      <c r="T25" s="979"/>
      <c r="U25" s="979"/>
      <c r="V25" s="979"/>
      <c r="W25" s="979"/>
    </row>
    <row r="26" spans="1:23">
      <c r="A26" s="1167" t="s">
        <v>1392</v>
      </c>
      <c r="B26" s="1160" t="s">
        <v>1388</v>
      </c>
      <c r="C26" s="977" t="s">
        <v>1383</v>
      </c>
      <c r="D26" s="977" t="s">
        <v>984</v>
      </c>
      <c r="E26" s="977" t="s">
        <v>1385</v>
      </c>
      <c r="F26" s="1161"/>
      <c r="G26" s="1162"/>
      <c r="H26" s="1162"/>
      <c r="I26" s="1164"/>
      <c r="J26" s="1163"/>
      <c r="K26" s="1164"/>
      <c r="L26" s="1164">
        <v>-1128559.5267213527</v>
      </c>
      <c r="M26" s="1164"/>
      <c r="N26" s="1164"/>
      <c r="O26" s="1164"/>
      <c r="P26" s="1166">
        <f t="shared" si="0"/>
        <v>-1128559.5267213527</v>
      </c>
      <c r="Q26" s="1165"/>
      <c r="R26" s="1009"/>
      <c r="S26" s="979"/>
      <c r="T26" s="979"/>
      <c r="U26" s="979"/>
      <c r="V26" s="979"/>
      <c r="W26" s="979"/>
    </row>
    <row r="27" spans="1:23" ht="15">
      <c r="A27" s="1167" t="s">
        <v>1393</v>
      </c>
      <c r="B27" s="988" t="s">
        <v>1138</v>
      </c>
      <c r="C27" s="980"/>
      <c r="D27" s="981"/>
      <c r="E27" s="981"/>
      <c r="F27" s="995"/>
      <c r="G27" s="988"/>
      <c r="H27" s="988"/>
      <c r="I27" s="1152"/>
      <c r="J27" s="1152"/>
      <c r="K27" s="1152"/>
      <c r="L27" s="1152">
        <v>-278756.0846318407</v>
      </c>
      <c r="M27" s="1152"/>
      <c r="N27" s="1152"/>
      <c r="O27" s="1152"/>
      <c r="P27" s="1166">
        <f t="shared" si="0"/>
        <v>-278756.0846318407</v>
      </c>
      <c r="Q27" s="1156"/>
      <c r="R27" s="1009"/>
      <c r="S27" s="979"/>
      <c r="T27" s="979"/>
      <c r="U27" s="979"/>
      <c r="V27" s="979"/>
      <c r="W27" s="979"/>
    </row>
    <row r="28" spans="1:23" ht="15">
      <c r="A28" s="1167"/>
      <c r="B28" s="980"/>
      <c r="C28" s="980"/>
      <c r="D28" s="980"/>
      <c r="E28" s="980"/>
      <c r="F28" s="980"/>
      <c r="G28" s="980"/>
      <c r="H28" s="980"/>
      <c r="I28" s="980"/>
      <c r="J28" s="980"/>
      <c r="K28" s="980"/>
      <c r="L28" s="980"/>
      <c r="M28" s="980"/>
      <c r="N28" s="980"/>
      <c r="O28" s="980"/>
      <c r="P28" s="1014"/>
      <c r="Q28" s="980"/>
      <c r="R28" s="980"/>
      <c r="S28" s="979"/>
      <c r="T28" s="979"/>
      <c r="U28" s="979"/>
      <c r="V28" s="979"/>
      <c r="W28" s="979"/>
    </row>
    <row r="29" spans="1:23" s="979" customFormat="1">
      <c r="A29" s="981"/>
      <c r="B29" s="992" t="s">
        <v>1008</v>
      </c>
      <c r="R29" s="1013"/>
    </row>
    <row r="30" spans="1:23" ht="11.45" customHeight="1">
      <c r="A30" s="981" t="s">
        <v>1009</v>
      </c>
      <c r="B30" s="982">
        <v>182.3</v>
      </c>
      <c r="C30" s="998" t="s">
        <v>1010</v>
      </c>
      <c r="D30" s="999" t="s">
        <v>116</v>
      </c>
      <c r="E30" s="981" t="s">
        <v>980</v>
      </c>
      <c r="F30" s="999"/>
      <c r="G30" s="999" t="s">
        <v>116</v>
      </c>
      <c r="H30" s="999"/>
      <c r="I30" s="1157">
        <v>0</v>
      </c>
      <c r="J30" s="999"/>
      <c r="K30" s="1152"/>
      <c r="L30" s="1152">
        <v>5652849.0690192366</v>
      </c>
      <c r="M30" s="1152"/>
      <c r="N30" s="999"/>
      <c r="O30" s="999"/>
      <c r="P30" s="1153">
        <f>SUM(I30:O30)</f>
        <v>5652849.0690192366</v>
      </c>
      <c r="Q30" s="997"/>
      <c r="R30" s="994" t="s">
        <v>1011</v>
      </c>
      <c r="S30" s="979"/>
      <c r="T30" s="979"/>
      <c r="U30" s="979"/>
      <c r="V30" s="979"/>
      <c r="W30" s="979"/>
    </row>
    <row r="31" spans="1:23" ht="11.45" customHeight="1">
      <c r="A31" s="981" t="s">
        <v>1012</v>
      </c>
      <c r="B31" s="982">
        <v>254</v>
      </c>
      <c r="C31" s="998" t="s">
        <v>1013</v>
      </c>
      <c r="D31" s="999" t="s">
        <v>116</v>
      </c>
      <c r="E31" s="981" t="s">
        <v>980</v>
      </c>
      <c r="F31" s="999"/>
      <c r="G31" s="999" t="s">
        <v>116</v>
      </c>
      <c r="H31" s="999"/>
      <c r="I31" s="1157">
        <v>-114950748.33276364</v>
      </c>
      <c r="J31" s="999"/>
      <c r="K31" s="1152"/>
      <c r="L31" s="1152"/>
      <c r="M31" s="1152">
        <v>9542596.2938833013</v>
      </c>
      <c r="N31" s="999"/>
      <c r="O31" s="999"/>
      <c r="P31" s="1153">
        <f>SUM(I31:O31)</f>
        <v>-105408152.03888035</v>
      </c>
      <c r="Q31" s="997"/>
      <c r="R31" s="994" t="s">
        <v>1011</v>
      </c>
      <c r="S31" s="979"/>
      <c r="T31" s="979"/>
      <c r="U31" s="979"/>
      <c r="V31" s="979"/>
      <c r="W31" s="979"/>
    </row>
    <row r="32" spans="1:23" ht="11.45" customHeight="1">
      <c r="A32" s="981" t="s">
        <v>1014</v>
      </c>
      <c r="B32" s="978">
        <v>254.00020000000001</v>
      </c>
      <c r="C32" s="1176" t="s">
        <v>1408</v>
      </c>
      <c r="D32" s="1177"/>
      <c r="E32" s="977" t="s">
        <v>1385</v>
      </c>
      <c r="F32" s="1177"/>
      <c r="G32" s="1177"/>
      <c r="H32" s="1177"/>
      <c r="I32" s="1178">
        <v>0</v>
      </c>
      <c r="J32" s="1177"/>
      <c r="K32" s="1164"/>
      <c r="L32" s="1164"/>
      <c r="M32" s="1164">
        <v>-5467558.1999999993</v>
      </c>
      <c r="N32" s="1177"/>
      <c r="O32" s="1177"/>
      <c r="P32" s="1179">
        <f>SUM(I32:O32)</f>
        <v>-5467558.1999999993</v>
      </c>
      <c r="Q32" s="997"/>
      <c r="R32" s="994"/>
      <c r="S32" s="979"/>
      <c r="T32" s="979"/>
      <c r="U32" s="979"/>
      <c r="V32" s="979"/>
      <c r="W32" s="979"/>
    </row>
    <row r="33" spans="1:23" ht="11.45" customHeight="1">
      <c r="A33" s="981" t="s">
        <v>1406</v>
      </c>
      <c r="B33" s="988" t="s">
        <v>1138</v>
      </c>
      <c r="C33" s="998"/>
      <c r="D33" s="999"/>
      <c r="E33" s="981"/>
      <c r="F33" s="999"/>
      <c r="G33" s="999"/>
      <c r="H33" s="999"/>
      <c r="I33" s="1152"/>
      <c r="J33" s="999"/>
      <c r="K33" s="1152"/>
      <c r="L33" s="1152"/>
      <c r="M33" s="1152"/>
      <c r="N33" s="999"/>
      <c r="O33" s="999"/>
      <c r="P33" s="997"/>
      <c r="Q33" s="997"/>
      <c r="R33" s="994"/>
      <c r="S33" s="979"/>
      <c r="T33" s="979"/>
      <c r="U33" s="979"/>
      <c r="V33" s="979"/>
      <c r="W33" s="979"/>
    </row>
    <row r="34" spans="1:23" ht="15">
      <c r="A34" s="980"/>
      <c r="B34" s="982"/>
      <c r="C34" s="998"/>
      <c r="D34" s="987"/>
      <c r="E34" s="987"/>
      <c r="F34" s="987"/>
      <c r="G34" s="987"/>
      <c r="H34" s="987"/>
      <c r="I34" s="987"/>
      <c r="J34" s="987"/>
      <c r="K34" s="987"/>
      <c r="L34" s="987"/>
      <c r="M34" s="987"/>
      <c r="N34" s="987"/>
      <c r="O34" s="987"/>
      <c r="P34" s="987"/>
      <c r="Q34" s="987"/>
      <c r="R34" s="1000"/>
      <c r="S34" s="979"/>
      <c r="T34" s="979"/>
      <c r="U34" s="979"/>
      <c r="V34" s="979"/>
      <c r="W34" s="979"/>
    </row>
    <row r="35" spans="1:23" ht="12.75" customHeight="1" thickBot="1">
      <c r="A35" s="1007">
        <v>3</v>
      </c>
      <c r="B35" s="1222" t="s">
        <v>1032</v>
      </c>
      <c r="C35" s="1222"/>
      <c r="D35" s="999"/>
      <c r="E35" s="999"/>
      <c r="F35" s="999"/>
      <c r="G35" s="999"/>
      <c r="H35" s="999"/>
      <c r="I35" s="1158">
        <f>SUM(I13:I33)</f>
        <v>-2.0000000447034836</v>
      </c>
      <c r="J35" s="1158">
        <f>SUM(J13:J33)</f>
        <v>-86261729.119843513</v>
      </c>
      <c r="K35" s="1158">
        <f t="shared" ref="K35:Q35" si="1">SUM(K13:K33)</f>
        <v>0</v>
      </c>
      <c r="L35" s="1158">
        <f t="shared" si="1"/>
        <v>0</v>
      </c>
      <c r="M35" s="1158">
        <f t="shared" si="1"/>
        <v>0</v>
      </c>
      <c r="N35" s="1158">
        <f>-SUM(N13:N33)</f>
        <v>-7234820.8115493441</v>
      </c>
      <c r="O35" s="1158">
        <f>-SUM(O13:O33)</f>
        <v>0</v>
      </c>
      <c r="P35" s="1158">
        <f t="shared" si="1"/>
        <v>-2.0000000409781933</v>
      </c>
      <c r="Q35" s="1158">
        <f t="shared" si="1"/>
        <v>-79026908.308294192</v>
      </c>
      <c r="R35" s="1001"/>
      <c r="S35" s="979"/>
      <c r="T35" s="979"/>
      <c r="U35" s="979"/>
      <c r="V35" s="979"/>
      <c r="W35" s="979"/>
    </row>
    <row r="36" spans="1:23" ht="15.75" thickTop="1">
      <c r="A36" s="980"/>
      <c r="B36" s="982"/>
      <c r="C36" s="998"/>
      <c r="D36" s="987"/>
      <c r="E36" s="987"/>
      <c r="F36" s="987"/>
      <c r="G36" s="987"/>
      <c r="H36" s="987"/>
      <c r="I36" s="1002"/>
      <c r="J36" s="996"/>
      <c r="K36" s="1003"/>
      <c r="L36" s="1003"/>
      <c r="M36" s="1003"/>
      <c r="N36" s="1004" t="s">
        <v>1031</v>
      </c>
      <c r="O36" s="1004"/>
      <c r="P36" s="1003"/>
      <c r="Q36" s="1005"/>
      <c r="R36" s="1001"/>
      <c r="S36" s="979"/>
      <c r="T36" s="979"/>
      <c r="U36" s="979"/>
      <c r="V36" s="979"/>
      <c r="W36" s="979"/>
    </row>
    <row r="37" spans="1:23">
      <c r="A37" s="988" t="s">
        <v>1015</v>
      </c>
      <c r="B37" s="982"/>
      <c r="C37" s="998"/>
      <c r="D37" s="987"/>
      <c r="E37" s="987"/>
      <c r="F37" s="987"/>
      <c r="G37" s="987"/>
      <c r="H37" s="987"/>
      <c r="I37" s="1002"/>
      <c r="J37" s="996"/>
      <c r="K37" s="1003"/>
      <c r="L37" s="1003"/>
      <c r="M37" s="1003"/>
      <c r="N37" s="996"/>
      <c r="O37" s="996"/>
      <c r="P37" s="1003"/>
      <c r="Q37" s="1005"/>
      <c r="R37" s="1001"/>
      <c r="S37" s="979"/>
      <c r="T37" s="979"/>
      <c r="U37" s="979"/>
      <c r="V37" s="979"/>
      <c r="W37" s="979"/>
    </row>
    <row r="38" spans="1:23" ht="15">
      <c r="A38" s="980"/>
      <c r="B38" s="981"/>
      <c r="C38" s="980"/>
      <c r="D38" s="991"/>
      <c r="E38" s="991"/>
      <c r="F38" s="991"/>
      <c r="G38" s="991"/>
      <c r="H38" s="991"/>
      <c r="I38" s="991"/>
      <c r="J38" s="991"/>
      <c r="K38" s="991"/>
      <c r="L38" s="991"/>
      <c r="M38" s="991"/>
      <c r="N38" s="991"/>
      <c r="O38" s="991"/>
      <c r="P38" s="1227" t="s">
        <v>974</v>
      </c>
      <c r="Q38" s="1227"/>
      <c r="R38" s="990"/>
      <c r="S38" s="979"/>
      <c r="T38" s="979"/>
      <c r="U38" s="979"/>
      <c r="V38" s="979"/>
      <c r="W38" s="979"/>
    </row>
    <row r="39" spans="1:23" ht="15">
      <c r="A39" s="980"/>
      <c r="B39" s="992" t="s">
        <v>975</v>
      </c>
      <c r="C39" s="993"/>
      <c r="D39" s="993"/>
      <c r="E39" s="993"/>
      <c r="F39" s="993"/>
      <c r="G39" s="993"/>
      <c r="H39" s="993"/>
      <c r="I39" s="993"/>
      <c r="J39" s="993"/>
      <c r="K39" s="993"/>
      <c r="L39" s="993"/>
      <c r="M39" s="993"/>
      <c r="N39" s="993"/>
      <c r="O39" s="993"/>
      <c r="P39" s="993"/>
      <c r="Q39" s="993"/>
      <c r="R39" s="979"/>
      <c r="S39" s="979"/>
      <c r="T39" s="979"/>
      <c r="U39" s="979"/>
      <c r="V39" s="979"/>
      <c r="W39" s="979"/>
    </row>
    <row r="40" spans="1:23">
      <c r="A40" s="981" t="s">
        <v>1016</v>
      </c>
      <c r="B40" s="1008" t="s">
        <v>977</v>
      </c>
      <c r="C40" s="981" t="s">
        <v>1387</v>
      </c>
      <c r="D40" s="981" t="s">
        <v>979</v>
      </c>
      <c r="E40" s="981" t="s">
        <v>980</v>
      </c>
      <c r="F40" s="982"/>
      <c r="G40" s="981"/>
      <c r="H40" s="981"/>
      <c r="I40" s="1152">
        <v>8708027.4027508255</v>
      </c>
      <c r="J40" s="1155"/>
      <c r="K40" s="1152"/>
      <c r="L40" s="1152"/>
      <c r="M40" s="1152">
        <v>-2021576.34</v>
      </c>
      <c r="N40" s="1152"/>
      <c r="O40" s="1152"/>
      <c r="P40" s="1150">
        <f>SUM(I40:O40)</f>
        <v>6686451.0627508257</v>
      </c>
      <c r="Q40" s="999"/>
      <c r="R40" s="994" t="s">
        <v>638</v>
      </c>
      <c r="S40" s="979"/>
      <c r="T40" s="979"/>
      <c r="U40" s="979"/>
      <c r="V40" s="979"/>
      <c r="W40" s="979"/>
    </row>
    <row r="41" spans="1:23">
      <c r="A41" s="981" t="s">
        <v>1017</v>
      </c>
      <c r="B41" s="1008" t="s">
        <v>989</v>
      </c>
      <c r="C41" s="981" t="s">
        <v>990</v>
      </c>
      <c r="D41" s="981" t="s">
        <v>984</v>
      </c>
      <c r="E41" s="981" t="s">
        <v>980</v>
      </c>
      <c r="F41" s="995">
        <v>-35312263</v>
      </c>
      <c r="G41" s="988" t="s">
        <v>991</v>
      </c>
      <c r="H41" s="988" t="s">
        <v>992</v>
      </c>
      <c r="I41" s="999"/>
      <c r="J41" s="1152">
        <v>-24253435.840199992</v>
      </c>
      <c r="K41" s="1152"/>
      <c r="L41" s="1152"/>
      <c r="M41" s="1152"/>
      <c r="N41" s="1152">
        <v>568686.73399743915</v>
      </c>
      <c r="O41" s="1152"/>
      <c r="P41" s="999"/>
      <c r="Q41" s="1150">
        <f>SUM(I41:O41)</f>
        <v>-23684749.106202554</v>
      </c>
      <c r="R41" s="1223" t="s">
        <v>1042</v>
      </c>
      <c r="S41" s="979"/>
      <c r="T41" s="979"/>
      <c r="U41" s="979"/>
      <c r="V41" s="979"/>
      <c r="W41" s="979"/>
    </row>
    <row r="42" spans="1:23">
      <c r="A42" s="981" t="s">
        <v>1018</v>
      </c>
      <c r="B42" s="1008" t="s">
        <v>989</v>
      </c>
      <c r="C42" s="981" t="s">
        <v>990</v>
      </c>
      <c r="D42" s="981" t="s">
        <v>994</v>
      </c>
      <c r="E42" s="981" t="s">
        <v>980</v>
      </c>
      <c r="F42" s="996">
        <v>-434774</v>
      </c>
      <c r="G42" s="988" t="s">
        <v>995</v>
      </c>
      <c r="H42" s="988" t="s">
        <v>996</v>
      </c>
      <c r="I42" s="999"/>
      <c r="J42" s="1152">
        <v>-2973963.7777777771</v>
      </c>
      <c r="K42" s="1152"/>
      <c r="L42" s="1152"/>
      <c r="M42" s="1152"/>
      <c r="N42" s="1152">
        <v>1088280.5555555555</v>
      </c>
      <c r="O42" s="1152"/>
      <c r="P42" s="999"/>
      <c r="Q42" s="1150">
        <f>SUM(I42:O42)</f>
        <v>-1885683.2222222215</v>
      </c>
      <c r="R42" s="1223"/>
      <c r="S42" s="979"/>
      <c r="T42" s="979"/>
      <c r="U42" s="979"/>
      <c r="V42" s="979"/>
      <c r="W42" s="979"/>
    </row>
    <row r="43" spans="1:23">
      <c r="A43" s="981" t="s">
        <v>1019</v>
      </c>
      <c r="B43" s="1008" t="s">
        <v>998</v>
      </c>
      <c r="C43" s="981" t="s">
        <v>999</v>
      </c>
      <c r="D43" s="981" t="s">
        <v>984</v>
      </c>
      <c r="E43" s="981" t="s">
        <v>980</v>
      </c>
      <c r="F43" s="996"/>
      <c r="G43" s="988"/>
      <c r="H43" s="988"/>
      <c r="I43" s="1152">
        <v>24253435.840199992</v>
      </c>
      <c r="J43" s="999"/>
      <c r="K43" s="1152"/>
      <c r="L43" s="1152"/>
      <c r="M43" s="1152">
        <v>-568686.73399743903</v>
      </c>
      <c r="N43" s="1152"/>
      <c r="O43" s="1152"/>
      <c r="P43" s="1150">
        <f>SUM(I43:O43)</f>
        <v>23684749.106202554</v>
      </c>
      <c r="Q43" s="999"/>
      <c r="R43" s="1223" t="s">
        <v>638</v>
      </c>
      <c r="S43" s="979"/>
      <c r="T43" s="979"/>
      <c r="U43" s="979"/>
      <c r="V43" s="979"/>
      <c r="W43" s="979"/>
    </row>
    <row r="44" spans="1:23">
      <c r="A44" s="981" t="s">
        <v>1020</v>
      </c>
      <c r="B44" s="1008" t="s">
        <v>998</v>
      </c>
      <c r="C44" s="981" t="s">
        <v>999</v>
      </c>
      <c r="D44" s="981" t="s">
        <v>994</v>
      </c>
      <c r="E44" s="981" t="s">
        <v>980</v>
      </c>
      <c r="F44" s="996"/>
      <c r="G44" s="988"/>
      <c r="H44" s="988"/>
      <c r="I44" s="1152">
        <v>2973963.7777777771</v>
      </c>
      <c r="J44" s="999"/>
      <c r="K44" s="1152"/>
      <c r="L44" s="1152"/>
      <c r="M44" s="1152">
        <v>-1088280.5555555555</v>
      </c>
      <c r="N44" s="1152"/>
      <c r="O44" s="1152"/>
      <c r="P44" s="1150">
        <f>SUM(I44:O44)</f>
        <v>1885683.2222222215</v>
      </c>
      <c r="Q44" s="999"/>
      <c r="R44" s="1223"/>
      <c r="S44" s="979"/>
      <c r="T44" s="979"/>
      <c r="U44" s="979"/>
      <c r="V44" s="979"/>
      <c r="W44" s="979"/>
    </row>
    <row r="45" spans="1:23">
      <c r="A45" s="981" t="s">
        <v>1021</v>
      </c>
      <c r="B45" s="1008" t="s">
        <v>1002</v>
      </c>
      <c r="C45" s="981" t="s">
        <v>1003</v>
      </c>
      <c r="D45" s="981" t="s">
        <v>994</v>
      </c>
      <c r="E45" s="981" t="s">
        <v>980</v>
      </c>
      <c r="F45" s="996">
        <v>1632023</v>
      </c>
      <c r="G45" s="988" t="s">
        <v>995</v>
      </c>
      <c r="H45" s="988" t="s">
        <v>996</v>
      </c>
      <c r="I45" s="999" t="s">
        <v>116</v>
      </c>
      <c r="J45" s="1152">
        <v>1044230.222222222</v>
      </c>
      <c r="K45" s="1152"/>
      <c r="L45" s="1152"/>
      <c r="M45" s="1152"/>
      <c r="N45" s="1152">
        <v>-627591.90211048722</v>
      </c>
      <c r="O45" s="1152"/>
      <c r="P45" s="1154" t="s">
        <v>116</v>
      </c>
      <c r="Q45" s="1150">
        <f>SUM(I45:O45)</f>
        <v>416638.32011173479</v>
      </c>
      <c r="R45" s="1021" t="s">
        <v>1145</v>
      </c>
      <c r="S45" s="979"/>
      <c r="T45" s="979"/>
      <c r="U45" s="979"/>
      <c r="V45" s="979"/>
      <c r="W45" s="979"/>
    </row>
    <row r="46" spans="1:23">
      <c r="A46" s="981" t="s">
        <v>1022</v>
      </c>
      <c r="B46" s="1008" t="s">
        <v>1005</v>
      </c>
      <c r="C46" s="981" t="s">
        <v>1006</v>
      </c>
      <c r="D46" s="981" t="s">
        <v>994</v>
      </c>
      <c r="E46" s="981" t="s">
        <v>980</v>
      </c>
      <c r="F46" s="995"/>
      <c r="G46" s="988"/>
      <c r="H46" s="988"/>
      <c r="I46" s="1152">
        <v>-1044231.222222222</v>
      </c>
      <c r="J46" s="1155"/>
      <c r="K46" s="1152"/>
      <c r="L46" s="1152"/>
      <c r="M46" s="1152">
        <v>627591.90211048722</v>
      </c>
      <c r="N46" s="1152"/>
      <c r="O46" s="1152"/>
      <c r="P46" s="1150">
        <f>SUM(I46:O46)</f>
        <v>-416639.32011173479</v>
      </c>
      <c r="Q46" s="1154"/>
      <c r="R46" s="1009" t="s">
        <v>638</v>
      </c>
      <c r="S46" s="979"/>
      <c r="T46" s="979"/>
      <c r="U46" s="979"/>
      <c r="V46" s="979"/>
      <c r="W46" s="979"/>
    </row>
    <row r="47" spans="1:23" ht="12.75">
      <c r="A47" s="977" t="s">
        <v>1023</v>
      </c>
      <c r="B47" s="1168" t="s">
        <v>1394</v>
      </c>
      <c r="C47" s="1167" t="s">
        <v>1380</v>
      </c>
      <c r="D47" s="1167" t="s">
        <v>984</v>
      </c>
      <c r="E47" s="1167" t="s">
        <v>980</v>
      </c>
      <c r="F47" s="1169"/>
      <c r="G47" s="1170"/>
      <c r="H47" s="1171"/>
      <c r="I47" s="1163"/>
      <c r="J47" s="1164"/>
      <c r="K47" s="1164"/>
      <c r="L47" s="1164"/>
      <c r="M47" s="1164"/>
      <c r="N47" s="1164">
        <v>4100658.4576660427</v>
      </c>
      <c r="O47" s="1164"/>
      <c r="P47" s="1172"/>
      <c r="Q47" s="1173">
        <f t="shared" ref="Q47" si="2">SUM(J47:O47)</f>
        <v>4100658.4576660427</v>
      </c>
      <c r="R47" s="1009"/>
      <c r="S47" s="979"/>
      <c r="T47" s="979"/>
      <c r="U47" s="979"/>
      <c r="V47" s="979"/>
      <c r="W47" s="979"/>
    </row>
    <row r="48" spans="1:23">
      <c r="A48" s="977" t="s">
        <v>1398</v>
      </c>
      <c r="B48" s="1174" t="s">
        <v>977</v>
      </c>
      <c r="C48" s="1167" t="s">
        <v>1380</v>
      </c>
      <c r="D48" s="1167" t="s">
        <v>984</v>
      </c>
      <c r="E48" s="1167" t="s">
        <v>980</v>
      </c>
      <c r="F48" s="1169"/>
      <c r="G48" s="1170"/>
      <c r="H48" s="1171"/>
      <c r="I48" s="1164"/>
      <c r="J48" s="1163"/>
      <c r="K48" s="1164"/>
      <c r="L48" s="1164">
        <v>-4100658.4576660427</v>
      </c>
      <c r="M48" s="1164"/>
      <c r="N48" s="1164"/>
      <c r="O48" s="1164"/>
      <c r="P48" s="1166">
        <f t="shared" ref="P48:P51" si="3">SUM(I48:O48)</f>
        <v>-4100658.4576660427</v>
      </c>
      <c r="Q48" s="1172"/>
      <c r="R48" s="1009"/>
      <c r="S48" s="979"/>
      <c r="T48" s="979"/>
      <c r="U48" s="979"/>
      <c r="V48" s="979"/>
      <c r="W48" s="979"/>
    </row>
    <row r="49" spans="1:23">
      <c r="A49" s="977" t="s">
        <v>1399</v>
      </c>
      <c r="B49" s="1174" t="s">
        <v>1395</v>
      </c>
      <c r="C49" s="1167" t="s">
        <v>1383</v>
      </c>
      <c r="D49" s="1167" t="s">
        <v>1384</v>
      </c>
      <c r="E49" s="977" t="s">
        <v>1385</v>
      </c>
      <c r="F49" s="1169"/>
      <c r="G49" s="1170"/>
      <c r="H49" s="1171"/>
      <c r="I49" s="1164"/>
      <c r="J49" s="1163"/>
      <c r="K49" s="1164"/>
      <c r="L49" s="1164"/>
      <c r="M49" s="1164">
        <v>1651564.74</v>
      </c>
      <c r="N49" s="1164"/>
      <c r="O49" s="1164"/>
      <c r="P49" s="1166">
        <f t="shared" si="3"/>
        <v>1651564.74</v>
      </c>
      <c r="Q49" s="1172"/>
      <c r="R49" s="1009"/>
      <c r="S49" s="979"/>
      <c r="T49" s="979"/>
      <c r="U49" s="979"/>
      <c r="V49" s="979"/>
      <c r="W49" s="979"/>
    </row>
    <row r="50" spans="1:23" ht="12.75">
      <c r="A50" s="977" t="s">
        <v>1400</v>
      </c>
      <c r="B50" s="1174" t="s">
        <v>1396</v>
      </c>
      <c r="C50" t="s">
        <v>1387</v>
      </c>
      <c r="D50" s="1167" t="s">
        <v>984</v>
      </c>
      <c r="E50" s="1167" t="s">
        <v>980</v>
      </c>
      <c r="F50" s="1169"/>
      <c r="G50" s="1170"/>
      <c r="H50" s="1171"/>
      <c r="I50" s="1164"/>
      <c r="J50" s="1163"/>
      <c r="K50" s="1164"/>
      <c r="L50" s="1164">
        <v>-1090048.4507719851</v>
      </c>
      <c r="M50" s="1164"/>
      <c r="N50" s="1164"/>
      <c r="O50" s="1164"/>
      <c r="P50" s="1166">
        <f t="shared" si="3"/>
        <v>-1090048.4507719851</v>
      </c>
      <c r="Q50" s="1172"/>
      <c r="R50" s="1009"/>
      <c r="S50" s="979"/>
      <c r="T50" s="979"/>
      <c r="U50" s="979"/>
      <c r="V50" s="979"/>
      <c r="W50" s="979"/>
    </row>
    <row r="51" spans="1:23" ht="12.75">
      <c r="A51" s="1167" t="s">
        <v>1401</v>
      </c>
      <c r="B51" s="1174" t="s">
        <v>1397</v>
      </c>
      <c r="C51" t="s">
        <v>1383</v>
      </c>
      <c r="D51" s="1167" t="s">
        <v>984</v>
      </c>
      <c r="E51" s="977" t="s">
        <v>1385</v>
      </c>
      <c r="F51" s="1169"/>
      <c r="G51" s="1170"/>
      <c r="H51" s="1171"/>
      <c r="I51" s="1164"/>
      <c r="J51" s="1163"/>
      <c r="K51" s="1164"/>
      <c r="L51" s="1164">
        <v>-269243.78466677573</v>
      </c>
      <c r="M51" s="1164"/>
      <c r="N51" s="1164"/>
      <c r="O51" s="1164"/>
      <c r="P51" s="1166">
        <f t="shared" si="3"/>
        <v>-269243.78466677573</v>
      </c>
      <c r="Q51" s="1172"/>
      <c r="R51" s="1009"/>
      <c r="S51" s="979"/>
      <c r="T51" s="979"/>
      <c r="U51" s="979"/>
      <c r="V51" s="979"/>
      <c r="W51" s="979"/>
    </row>
    <row r="52" spans="1:23" ht="15">
      <c r="A52" s="1167" t="s">
        <v>1402</v>
      </c>
      <c r="B52" s="988" t="s">
        <v>1138</v>
      </c>
      <c r="C52" s="980"/>
      <c r="D52" s="981"/>
      <c r="E52" s="981"/>
      <c r="F52" s="995"/>
      <c r="G52" s="988"/>
      <c r="H52" s="988"/>
      <c r="I52" s="1152"/>
      <c r="J52" s="1152"/>
      <c r="K52" s="1152"/>
      <c r="L52" s="1152"/>
      <c r="M52" s="1152"/>
      <c r="N52" s="1152"/>
      <c r="O52" s="1152"/>
      <c r="P52" s="1153"/>
      <c r="Q52" s="1156"/>
      <c r="R52" s="1009"/>
      <c r="S52" s="979"/>
      <c r="T52" s="979"/>
      <c r="U52" s="979"/>
      <c r="V52" s="979"/>
      <c r="W52" s="979"/>
    </row>
    <row r="53" spans="1:23" ht="15">
      <c r="A53" s="980"/>
      <c r="B53" s="980"/>
      <c r="C53" s="980"/>
      <c r="D53" s="980"/>
      <c r="E53" s="980"/>
      <c r="F53" s="980"/>
      <c r="G53" s="980"/>
      <c r="H53" s="980"/>
      <c r="I53" s="980"/>
      <c r="J53" s="980"/>
      <c r="K53" s="980"/>
      <c r="L53" s="980"/>
      <c r="M53" s="980"/>
      <c r="N53" s="980"/>
      <c r="O53" s="980"/>
      <c r="P53" s="980"/>
      <c r="Q53" s="980"/>
      <c r="R53" s="980"/>
      <c r="S53" s="979"/>
      <c r="T53" s="979"/>
      <c r="U53" s="979"/>
      <c r="V53" s="979"/>
      <c r="W53" s="979"/>
    </row>
    <row r="54" spans="1:23" ht="15">
      <c r="A54" s="980"/>
      <c r="B54" s="992" t="s">
        <v>1008</v>
      </c>
      <c r="C54" s="979"/>
      <c r="D54" s="979"/>
      <c r="E54" s="979"/>
      <c r="F54" s="979"/>
      <c r="G54" s="979"/>
      <c r="H54" s="979"/>
      <c r="I54" s="979"/>
      <c r="J54" s="979"/>
      <c r="K54" s="979"/>
      <c r="L54" s="979"/>
      <c r="M54" s="979"/>
      <c r="N54" s="979"/>
      <c r="O54" s="979"/>
      <c r="P54" s="979"/>
      <c r="Q54" s="979"/>
      <c r="R54" s="979"/>
      <c r="S54" s="979"/>
      <c r="T54" s="979"/>
      <c r="U54" s="979"/>
      <c r="V54" s="979"/>
      <c r="W54" s="979"/>
    </row>
    <row r="55" spans="1:23">
      <c r="A55" s="981" t="s">
        <v>623</v>
      </c>
      <c r="B55" s="982">
        <v>182.3</v>
      </c>
      <c r="C55" s="998" t="s">
        <v>1010</v>
      </c>
      <c r="D55" s="999" t="s">
        <v>116</v>
      </c>
      <c r="E55" s="981" t="s">
        <v>980</v>
      </c>
      <c r="F55" s="999"/>
      <c r="G55" s="999" t="s">
        <v>116</v>
      </c>
      <c r="H55" s="999"/>
      <c r="I55" s="1157">
        <v>0</v>
      </c>
      <c r="J55" s="999"/>
      <c r="K55" s="1152"/>
      <c r="L55" s="1152">
        <v>5459950.6931048036</v>
      </c>
      <c r="M55" s="1152"/>
      <c r="N55" s="999"/>
      <c r="O55" s="999"/>
      <c r="P55" s="1151">
        <f>SUM(I55:O55)</f>
        <v>5459950.6931048036</v>
      </c>
      <c r="Q55" s="997"/>
      <c r="R55" s="994" t="s">
        <v>1011</v>
      </c>
      <c r="S55" s="979"/>
      <c r="T55" s="979"/>
      <c r="U55" s="979"/>
      <c r="V55" s="979"/>
      <c r="W55" s="979"/>
    </row>
    <row r="56" spans="1:23">
      <c r="A56" s="981" t="s">
        <v>624</v>
      </c>
      <c r="B56" s="982">
        <v>254</v>
      </c>
      <c r="C56" s="998" t="s">
        <v>1013</v>
      </c>
      <c r="D56" s="999" t="s">
        <v>116</v>
      </c>
      <c r="E56" s="981" t="s">
        <v>980</v>
      </c>
      <c r="F56" s="999"/>
      <c r="G56" s="999" t="s">
        <v>116</v>
      </c>
      <c r="H56" s="999"/>
      <c r="I56" s="1157">
        <v>-34891193.583211303</v>
      </c>
      <c r="J56" s="999"/>
      <c r="K56" s="1152"/>
      <c r="L56" s="1152"/>
      <c r="M56" s="1152">
        <v>3050951.7274425072</v>
      </c>
      <c r="N56" s="999"/>
      <c r="O56" s="999"/>
      <c r="P56" s="1153">
        <f>SUM(I56:O56)</f>
        <v>-31840241.855768796</v>
      </c>
      <c r="Q56" s="997"/>
      <c r="R56" s="994" t="s">
        <v>1011</v>
      </c>
      <c r="S56" s="979"/>
      <c r="T56" s="979"/>
      <c r="U56" s="979"/>
      <c r="V56" s="979"/>
      <c r="W56" s="979"/>
    </row>
    <row r="57" spans="1:23">
      <c r="A57" s="981" t="s">
        <v>1024</v>
      </c>
      <c r="B57" s="978">
        <v>254.00020000000001</v>
      </c>
      <c r="C57" s="1176" t="s">
        <v>1408</v>
      </c>
      <c r="D57" s="1177"/>
      <c r="E57" s="977" t="s">
        <v>1385</v>
      </c>
      <c r="F57" s="1177"/>
      <c r="G57" s="1177"/>
      <c r="H57" s="1177"/>
      <c r="I57" s="1178">
        <v>0</v>
      </c>
      <c r="J57" s="1177"/>
      <c r="K57" s="1164"/>
      <c r="L57" s="1164"/>
      <c r="M57" s="1164">
        <v>-1651564.74</v>
      </c>
      <c r="N57" s="1177"/>
      <c r="O57" s="1177"/>
      <c r="P57" s="1179">
        <f>SUM(I57:O57)</f>
        <v>-1651564.74</v>
      </c>
      <c r="Q57" s="997"/>
      <c r="R57" s="994"/>
      <c r="S57" s="979"/>
      <c r="T57" s="979"/>
      <c r="U57" s="979"/>
      <c r="V57" s="979"/>
      <c r="W57" s="979"/>
    </row>
    <row r="58" spans="1:23">
      <c r="A58" s="981" t="s">
        <v>1407</v>
      </c>
      <c r="B58" s="988" t="s">
        <v>1138</v>
      </c>
      <c r="C58" s="998"/>
      <c r="D58" s="999"/>
      <c r="E58" s="981"/>
      <c r="F58" s="999"/>
      <c r="G58" s="999"/>
      <c r="H58" s="999"/>
      <c r="I58" s="1152"/>
      <c r="J58" s="999"/>
      <c r="K58" s="1152"/>
      <c r="L58" s="1152"/>
      <c r="M58" s="1152"/>
      <c r="N58" s="999"/>
      <c r="O58" s="999"/>
      <c r="P58" s="997"/>
      <c r="Q58" s="997"/>
      <c r="R58" s="994"/>
      <c r="S58" s="979"/>
      <c r="T58" s="979"/>
      <c r="U58" s="979"/>
      <c r="V58" s="979"/>
      <c r="W58" s="979"/>
    </row>
    <row r="59" spans="1:23" ht="15">
      <c r="A59" s="980"/>
      <c r="B59" s="982"/>
      <c r="C59" s="998"/>
      <c r="D59" s="987"/>
      <c r="E59" s="987"/>
      <c r="F59" s="987"/>
      <c r="G59" s="987"/>
      <c r="H59" s="987"/>
      <c r="I59" s="987"/>
      <c r="J59" s="987"/>
      <c r="K59" s="987"/>
      <c r="L59" s="987"/>
      <c r="M59" s="987"/>
      <c r="N59" s="987"/>
      <c r="O59" s="987"/>
      <c r="P59" s="987"/>
      <c r="Q59" s="987"/>
      <c r="R59" s="1000"/>
      <c r="S59" s="979"/>
      <c r="T59" s="979"/>
      <c r="U59" s="979"/>
      <c r="V59" s="979"/>
      <c r="W59" s="979"/>
    </row>
    <row r="60" spans="1:23" ht="12.75" customHeight="1" thickBot="1">
      <c r="A60" s="1007">
        <v>6</v>
      </c>
      <c r="B60" s="1222" t="s">
        <v>1033</v>
      </c>
      <c r="C60" s="1222"/>
      <c r="D60" s="999"/>
      <c r="E60" s="999"/>
      <c r="F60" s="999"/>
      <c r="G60" s="999"/>
      <c r="H60" s="999"/>
      <c r="I60" s="1158">
        <f>SUM(I40:I58)</f>
        <v>2.2152950689196587</v>
      </c>
      <c r="J60" s="1158">
        <f t="shared" ref="J60:Q60" si="4">SUM(J40:J58)</f>
        <v>-26183169.395755544</v>
      </c>
      <c r="K60" s="1158">
        <f t="shared" si="4"/>
        <v>0</v>
      </c>
      <c r="L60" s="1158">
        <f t="shared" si="4"/>
        <v>0</v>
      </c>
      <c r="M60" s="1158">
        <f t="shared" si="4"/>
        <v>0</v>
      </c>
      <c r="N60" s="1158">
        <f>-SUM(N40:N58)</f>
        <v>-5130033.84510855</v>
      </c>
      <c r="O60" s="1158">
        <f>-SUM(O40:O58)</f>
        <v>0</v>
      </c>
      <c r="P60" s="1158">
        <f t="shared" si="4"/>
        <v>2.2152950710151345</v>
      </c>
      <c r="Q60" s="1158">
        <f t="shared" si="4"/>
        <v>-21053135.550646994</v>
      </c>
      <c r="R60" s="1001"/>
      <c r="S60" s="979"/>
      <c r="T60" s="979"/>
      <c r="U60" s="979"/>
      <c r="V60" s="979"/>
      <c r="W60" s="979"/>
    </row>
    <row r="61" spans="1:23" ht="15.75" thickTop="1">
      <c r="A61" s="980"/>
      <c r="B61" s="982"/>
      <c r="C61" s="998"/>
      <c r="D61" s="987"/>
      <c r="E61" s="987"/>
      <c r="F61" s="987"/>
      <c r="G61" s="987"/>
      <c r="H61" s="987"/>
      <c r="I61" s="1002"/>
      <c r="J61" s="996"/>
      <c r="K61" s="1003"/>
      <c r="L61" s="1003"/>
      <c r="M61" s="1003"/>
      <c r="N61" s="1004" t="s">
        <v>1031</v>
      </c>
      <c r="O61" s="996"/>
      <c r="P61" s="1003"/>
      <c r="Q61" s="1005"/>
      <c r="R61" s="1001"/>
      <c r="S61" s="979"/>
      <c r="T61" s="979"/>
      <c r="U61" s="979"/>
      <c r="V61" s="979"/>
      <c r="W61" s="979"/>
    </row>
    <row r="62" spans="1:23" ht="15">
      <c r="A62" s="980"/>
      <c r="B62" s="982"/>
      <c r="C62" s="998"/>
      <c r="D62" s="987"/>
      <c r="E62" s="987"/>
      <c r="F62" s="987"/>
      <c r="G62" s="987"/>
      <c r="H62" s="987"/>
      <c r="I62" s="1002"/>
      <c r="J62" s="996"/>
      <c r="K62" s="1003"/>
      <c r="L62" s="1003"/>
      <c r="M62" s="1003"/>
      <c r="N62" s="996"/>
      <c r="O62" s="996"/>
      <c r="P62" s="1003"/>
      <c r="Q62" s="1005"/>
      <c r="R62" s="1001"/>
      <c r="S62" s="979"/>
      <c r="T62" s="979"/>
      <c r="U62" s="979"/>
      <c r="V62" s="979"/>
      <c r="W62" s="979"/>
    </row>
    <row r="63" spans="1:23" ht="18.600000000000001" customHeight="1">
      <c r="A63" s="1228" t="s">
        <v>1034</v>
      </c>
      <c r="B63" s="1228"/>
      <c r="C63" s="1228"/>
      <c r="D63" s="1228"/>
      <c r="E63" s="1228"/>
      <c r="F63" s="1228"/>
      <c r="G63" s="1228"/>
      <c r="H63" s="1228"/>
      <c r="I63" s="1228"/>
      <c r="J63" s="1228"/>
      <c r="K63" s="1003"/>
      <c r="L63" s="1003"/>
      <c r="M63" s="1003"/>
      <c r="N63" s="996"/>
      <c r="O63" s="996"/>
      <c r="P63" s="1003"/>
      <c r="Q63" s="1005"/>
      <c r="R63" s="1001"/>
      <c r="S63" s="979"/>
      <c r="T63" s="979"/>
      <c r="U63" s="979"/>
      <c r="V63" s="979"/>
      <c r="W63" s="979"/>
    </row>
    <row r="64" spans="1:23" ht="23.1" customHeight="1">
      <c r="A64" s="1228"/>
      <c r="B64" s="1228"/>
      <c r="C64" s="1228"/>
      <c r="D64" s="1228"/>
      <c r="E64" s="1228"/>
      <c r="F64" s="1228"/>
      <c r="G64" s="1228"/>
      <c r="H64" s="1228"/>
      <c r="I64" s="1228"/>
      <c r="J64" s="1228"/>
      <c r="K64" s="1003"/>
      <c r="L64" s="1003"/>
      <c r="M64" s="1003"/>
      <c r="N64" s="996"/>
      <c r="O64" s="996"/>
      <c r="P64" s="1003"/>
      <c r="Q64" s="1005"/>
      <c r="R64" s="1001"/>
      <c r="S64" s="979"/>
      <c r="T64" s="979"/>
      <c r="U64" s="979"/>
      <c r="V64" s="979"/>
      <c r="W64" s="979"/>
    </row>
    <row r="65" spans="1:23" ht="15" customHeight="1">
      <c r="A65" s="980"/>
      <c r="B65" s="982"/>
      <c r="C65" s="998"/>
      <c r="D65" s="987"/>
      <c r="E65" s="987"/>
      <c r="F65" s="987"/>
      <c r="G65" s="987"/>
      <c r="H65" s="987"/>
      <c r="I65" s="1002"/>
      <c r="J65" s="996"/>
      <c r="K65" s="1003"/>
      <c r="L65" s="1003"/>
      <c r="M65" s="1003"/>
      <c r="N65" s="996"/>
      <c r="O65" s="996"/>
      <c r="P65" s="1003"/>
      <c r="Q65" s="1005"/>
      <c r="R65" s="1001"/>
      <c r="S65" s="979"/>
      <c r="T65" s="979"/>
      <c r="U65" s="979"/>
      <c r="V65" s="979"/>
      <c r="W65" s="979"/>
    </row>
    <row r="66" spans="1:23" ht="15">
      <c r="A66" s="980"/>
      <c r="B66" s="981"/>
      <c r="C66" s="998"/>
      <c r="D66" s="987"/>
      <c r="E66" s="987"/>
      <c r="F66" s="987"/>
      <c r="G66" s="987"/>
      <c r="H66" s="987"/>
      <c r="I66" s="1002"/>
      <c r="J66" s="1005"/>
      <c r="K66" s="1003"/>
      <c r="L66" s="1003"/>
      <c r="M66" s="1003"/>
      <c r="N66" s="1005"/>
      <c r="O66" s="1005"/>
      <c r="P66" s="1003"/>
      <c r="Q66" s="1005"/>
      <c r="R66" s="1001"/>
      <c r="S66" s="979"/>
      <c r="T66" s="979"/>
      <c r="U66" s="979"/>
      <c r="V66" s="979"/>
      <c r="W66" s="979"/>
    </row>
    <row r="67" spans="1:23">
      <c r="A67" s="1092" t="s">
        <v>1025</v>
      </c>
      <c r="B67" s="1229" t="s">
        <v>1125</v>
      </c>
      <c r="C67" s="1229"/>
      <c r="D67" s="1229"/>
      <c r="E67" s="1229"/>
      <c r="F67" s="1229"/>
      <c r="G67" s="1229"/>
      <c r="H67" s="1229"/>
      <c r="I67" s="1229"/>
      <c r="J67" s="1229"/>
      <c r="K67" s="1006"/>
    </row>
    <row r="68" spans="1:23">
      <c r="A68" s="1093"/>
      <c r="B68" s="1229"/>
      <c r="C68" s="1229"/>
      <c r="D68" s="1229"/>
      <c r="E68" s="1229"/>
      <c r="F68" s="1229"/>
      <c r="G68" s="1229"/>
      <c r="H68" s="1229"/>
      <c r="I68" s="1229"/>
      <c r="J68" s="1229"/>
      <c r="K68" s="1006"/>
    </row>
    <row r="69" spans="1:23">
      <c r="A69" s="1093"/>
      <c r="B69" s="1229"/>
      <c r="C69" s="1229"/>
      <c r="D69" s="1229"/>
      <c r="E69" s="1229"/>
      <c r="F69" s="1229"/>
      <c r="G69" s="1229"/>
      <c r="H69" s="1229"/>
      <c r="I69" s="1229"/>
      <c r="J69" s="1229"/>
      <c r="K69" s="1006"/>
    </row>
    <row r="70" spans="1:23">
      <c r="A70" s="1093"/>
      <c r="B70" s="1229"/>
      <c r="C70" s="1229"/>
      <c r="D70" s="1229"/>
      <c r="E70" s="1229"/>
      <c r="F70" s="1229"/>
      <c r="G70" s="1229"/>
      <c r="H70" s="1229"/>
      <c r="I70" s="1229"/>
      <c r="J70" s="1229"/>
      <c r="K70" s="1006"/>
    </row>
    <row r="71" spans="1:23">
      <c r="A71" s="1093"/>
      <c r="B71" s="1229"/>
      <c r="C71" s="1229"/>
      <c r="D71" s="1229"/>
      <c r="E71" s="1229"/>
      <c r="F71" s="1229"/>
      <c r="G71" s="1229"/>
      <c r="H71" s="1229"/>
      <c r="I71" s="1229"/>
      <c r="J71" s="1229"/>
      <c r="K71" s="1006"/>
    </row>
    <row r="72" spans="1:23">
      <c r="A72" s="1093"/>
      <c r="B72" s="1094"/>
      <c r="C72" s="1094"/>
      <c r="D72" s="1094"/>
      <c r="E72" s="1094"/>
      <c r="F72" s="1094"/>
      <c r="G72" s="1094"/>
      <c r="H72" s="1094"/>
      <c r="I72" s="1094"/>
      <c r="J72" s="1094"/>
      <c r="K72" s="1006"/>
    </row>
    <row r="73" spans="1:23">
      <c r="A73" s="1093" t="s">
        <v>1026</v>
      </c>
      <c r="B73" s="1095" t="s">
        <v>1027</v>
      </c>
      <c r="C73" s="1095"/>
      <c r="D73" s="1095"/>
      <c r="E73" s="1095"/>
      <c r="F73" s="1095"/>
      <c r="G73" s="1095"/>
      <c r="H73" s="1095"/>
      <c r="I73" s="1095"/>
      <c r="J73" s="1095"/>
      <c r="K73" s="1006"/>
    </row>
    <row r="74" spans="1:23">
      <c r="A74" s="1093"/>
      <c r="B74" s="1095"/>
      <c r="C74" s="1095"/>
      <c r="D74" s="1095"/>
      <c r="E74" s="1095"/>
      <c r="F74" s="1095"/>
      <c r="G74" s="1095"/>
      <c r="H74" s="1095"/>
      <c r="I74" s="1095"/>
      <c r="J74" s="1095"/>
      <c r="K74" s="1006"/>
    </row>
    <row r="75" spans="1:23">
      <c r="A75" s="1093" t="s">
        <v>1028</v>
      </c>
      <c r="B75" s="1229" t="s">
        <v>1126</v>
      </c>
      <c r="C75" s="1229"/>
      <c r="D75" s="1229"/>
      <c r="E75" s="1229"/>
      <c r="F75" s="1229"/>
      <c r="G75" s="1229"/>
      <c r="H75" s="1229"/>
      <c r="I75" s="1229"/>
      <c r="J75" s="1229"/>
    </row>
    <row r="76" spans="1:23">
      <c r="A76" s="1093"/>
      <c r="B76" s="1229"/>
      <c r="C76" s="1229"/>
      <c r="D76" s="1229"/>
      <c r="E76" s="1229"/>
      <c r="F76" s="1229"/>
      <c r="G76" s="1229"/>
      <c r="H76" s="1229"/>
      <c r="I76" s="1229"/>
      <c r="J76" s="1229"/>
    </row>
    <row r="77" spans="1:23">
      <c r="A77" s="1093"/>
      <c r="B77" s="1094"/>
      <c r="C77" s="1094"/>
      <c r="D77" s="1094"/>
      <c r="E77" s="1094"/>
      <c r="F77" s="1094"/>
      <c r="G77" s="1094"/>
      <c r="H77" s="1094"/>
      <c r="I77" s="1094"/>
      <c r="J77" s="1094"/>
    </row>
    <row r="78" spans="1:23">
      <c r="A78" s="1093" t="s">
        <v>1029</v>
      </c>
      <c r="B78" s="1093" t="s">
        <v>1127</v>
      </c>
      <c r="C78" s="1093"/>
      <c r="D78" s="1093"/>
      <c r="E78" s="1093"/>
      <c r="F78" s="1093"/>
      <c r="G78" s="1093"/>
      <c r="H78" s="1093"/>
      <c r="I78" s="1093"/>
      <c r="J78" s="1093"/>
    </row>
    <row r="79" spans="1:23">
      <c r="A79" s="1093"/>
      <c r="B79" s="1096"/>
      <c r="C79" s="1094"/>
      <c r="D79" s="1094"/>
      <c r="E79" s="1094"/>
      <c r="F79" s="1094"/>
      <c r="G79" s="1094"/>
      <c r="H79" s="1094"/>
      <c r="I79" s="1094"/>
      <c r="J79" s="1094"/>
    </row>
    <row r="80" spans="1:23">
      <c r="A80" s="1096" t="s">
        <v>1030</v>
      </c>
      <c r="B80" s="1229" t="s">
        <v>1128</v>
      </c>
      <c r="C80" s="1229"/>
      <c r="D80" s="1229"/>
      <c r="E80" s="1229"/>
      <c r="F80" s="1229"/>
      <c r="G80" s="1229"/>
      <c r="H80" s="1229"/>
      <c r="I80" s="1229"/>
      <c r="J80" s="1094"/>
    </row>
    <row r="81" spans="1:10">
      <c r="A81" s="1093"/>
      <c r="B81" s="1229"/>
      <c r="C81" s="1229"/>
      <c r="D81" s="1229"/>
      <c r="E81" s="1229"/>
      <c r="F81" s="1229"/>
      <c r="G81" s="1229"/>
      <c r="H81" s="1229"/>
      <c r="I81" s="1229"/>
      <c r="J81" s="1094"/>
    </row>
    <row r="82" spans="1:10">
      <c r="A82" s="1093"/>
      <c r="B82" s="1097"/>
      <c r="C82" s="1093"/>
      <c r="D82" s="1093"/>
      <c r="E82" s="1093"/>
      <c r="F82" s="1093"/>
      <c r="G82" s="1093"/>
      <c r="H82" s="1093"/>
      <c r="I82" s="1093"/>
      <c r="J82" s="1093"/>
    </row>
    <row r="83" spans="1:10">
      <c r="A83" s="1096" t="s">
        <v>1035</v>
      </c>
      <c r="B83" s="1229" t="s">
        <v>1129</v>
      </c>
      <c r="C83" s="1229"/>
      <c r="D83" s="1229"/>
      <c r="E83" s="1229"/>
      <c r="F83" s="1229"/>
      <c r="G83" s="1229"/>
      <c r="H83" s="1229"/>
      <c r="I83" s="1229"/>
      <c r="J83" s="1093"/>
    </row>
    <row r="84" spans="1:10">
      <c r="A84" s="1093"/>
      <c r="B84" s="1229"/>
      <c r="C84" s="1229"/>
      <c r="D84" s="1229"/>
      <c r="E84" s="1229"/>
      <c r="F84" s="1229"/>
      <c r="G84" s="1229"/>
      <c r="H84" s="1229"/>
      <c r="I84" s="1229"/>
      <c r="J84" s="1093"/>
    </row>
    <row r="85" spans="1:10">
      <c r="A85" s="1093"/>
      <c r="B85" s="1097"/>
      <c r="C85" s="1093"/>
      <c r="D85" s="1093"/>
      <c r="E85" s="1093"/>
      <c r="F85" s="1093"/>
      <c r="G85" s="1093"/>
      <c r="H85" s="1093"/>
      <c r="I85" s="1093"/>
      <c r="J85" s="1093"/>
    </row>
    <row r="86" spans="1:10">
      <c r="A86" s="1093"/>
      <c r="B86" s="1096"/>
      <c r="C86" s="1093"/>
      <c r="D86" s="1093"/>
      <c r="E86" s="1093"/>
      <c r="F86" s="1093"/>
      <c r="G86" s="1093"/>
      <c r="H86" s="1093"/>
      <c r="I86" s="1093"/>
      <c r="J86" s="1093"/>
    </row>
    <row r="87" spans="1:10">
      <c r="A87" s="1093"/>
      <c r="B87" s="1093"/>
      <c r="C87" s="1093"/>
      <c r="D87" s="1093"/>
      <c r="E87" s="1093"/>
      <c r="F87" s="1093"/>
      <c r="G87" s="1093"/>
      <c r="H87" s="1093"/>
      <c r="I87" s="1093"/>
      <c r="J87" s="1093"/>
    </row>
    <row r="88" spans="1:10">
      <c r="A88" s="1093"/>
      <c r="B88" s="1093"/>
      <c r="C88" s="1093"/>
      <c r="D88" s="1093"/>
      <c r="E88" s="1093"/>
      <c r="F88" s="1093"/>
      <c r="G88" s="1093"/>
      <c r="H88" s="1093"/>
      <c r="I88" s="1093"/>
      <c r="J88" s="1093"/>
    </row>
    <row r="89" spans="1:10">
      <c r="A89" s="1093"/>
      <c r="B89" s="1093"/>
      <c r="C89" s="1093"/>
      <c r="D89" s="1093"/>
      <c r="E89" s="1093"/>
      <c r="F89" s="1093"/>
      <c r="G89" s="1093"/>
      <c r="H89" s="1093"/>
      <c r="I89" s="1093"/>
      <c r="J89" s="1093"/>
    </row>
    <row r="90" spans="1:10">
      <c r="A90" s="1093"/>
      <c r="B90" s="1093"/>
      <c r="C90" s="1093"/>
      <c r="D90" s="1093"/>
      <c r="E90" s="1093"/>
      <c r="F90" s="1093"/>
      <c r="G90" s="1093"/>
      <c r="H90" s="1093"/>
      <c r="I90" s="1093"/>
      <c r="J90" s="1093"/>
    </row>
    <row r="91" spans="1:10">
      <c r="A91" s="1098"/>
      <c r="B91" s="1092"/>
      <c r="C91" s="1092"/>
      <c r="D91" s="1092"/>
      <c r="E91" s="1092"/>
      <c r="F91" s="1092"/>
      <c r="G91" s="1092"/>
      <c r="H91" s="1092"/>
      <c r="I91" s="1092"/>
      <c r="J91" s="1092"/>
    </row>
  </sheetData>
  <mergeCells count="17">
    <mergeCell ref="A63:J64"/>
    <mergeCell ref="B67:J71"/>
    <mergeCell ref="B75:J76"/>
    <mergeCell ref="B80:I81"/>
    <mergeCell ref="B83:I84"/>
    <mergeCell ref="R16:R17"/>
    <mergeCell ref="B60:C60"/>
    <mergeCell ref="R18:R19"/>
    <mergeCell ref="I9:J9"/>
    <mergeCell ref="K9:M9"/>
    <mergeCell ref="N9:O9"/>
    <mergeCell ref="P9:Q9"/>
    <mergeCell ref="P11:Q11"/>
    <mergeCell ref="B35:C35"/>
    <mergeCell ref="P38:Q38"/>
    <mergeCell ref="R41:R42"/>
    <mergeCell ref="R43:R44"/>
  </mergeCells>
  <pageMargins left="0.7" right="0.7" top="0.75" bottom="0.75" header="0.3" footer="0.3"/>
  <pageSetup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pageSetUpPr fitToPage="1"/>
  </sheetPr>
  <dimension ref="A1:R73"/>
  <sheetViews>
    <sheetView tabSelected="1" view="pageBreakPreview" zoomScale="60" zoomScaleNormal="100" workbookViewId="0">
      <selection activeCell="D9" sqref="D9"/>
    </sheetView>
  </sheetViews>
  <sheetFormatPr defaultColWidth="11.85546875" defaultRowHeight="12.75"/>
  <cols>
    <col min="1" max="1" width="9" style="1054" customWidth="1"/>
    <col min="2" max="2" width="15" style="1055" bestFit="1" customWidth="1"/>
    <col min="3" max="3" width="4.140625" style="1055" customWidth="1"/>
    <col min="4" max="4" width="21" style="1055" bestFit="1" customWidth="1"/>
    <col min="5" max="5" width="29.7109375" style="1055" bestFit="1" customWidth="1"/>
    <col min="6" max="6" width="21.42578125" style="1055" customWidth="1"/>
    <col min="7" max="7" width="4.42578125" style="1055" customWidth="1"/>
    <col min="8" max="8" width="15" style="1055" customWidth="1"/>
    <col min="9" max="9" width="4.85546875" style="1055" customWidth="1"/>
    <col min="10" max="10" width="17.42578125" style="1055" customWidth="1"/>
    <col min="11" max="11" width="3.5703125" style="1055" customWidth="1"/>
    <col min="12" max="12" width="21.42578125" style="1055" customWidth="1"/>
    <col min="13" max="13" width="16" style="1055" customWidth="1"/>
    <col min="14" max="14" width="19.140625" style="1058" bestFit="1" customWidth="1"/>
    <col min="15" max="15" width="16" style="1058" bestFit="1" customWidth="1"/>
    <col min="16" max="16" width="15.28515625" style="1055" bestFit="1" customWidth="1"/>
    <col min="17" max="16384" width="11.85546875" style="1055"/>
  </cols>
  <sheetData>
    <row r="1" spans="1:17" ht="15">
      <c r="A1" s="1054" t="s">
        <v>1077</v>
      </c>
      <c r="L1" s="1056"/>
      <c r="N1" s="1057" t="s">
        <v>1078</v>
      </c>
    </row>
    <row r="2" spans="1:17">
      <c r="A2" s="1059" t="s">
        <v>890</v>
      </c>
      <c r="L2" s="1060"/>
      <c r="N2" s="1061" t="s">
        <v>1079</v>
      </c>
    </row>
    <row r="3" spans="1:17">
      <c r="A3" s="1054" t="s">
        <v>1080</v>
      </c>
      <c r="N3" s="1061" t="s">
        <v>1081</v>
      </c>
    </row>
    <row r="4" spans="1:17">
      <c r="A4" s="1054" t="s">
        <v>1082</v>
      </c>
      <c r="N4" s="1057" t="s">
        <v>1083</v>
      </c>
    </row>
    <row r="5" spans="1:17">
      <c r="A5" s="1054" t="s">
        <v>1084</v>
      </c>
    </row>
    <row r="6" spans="1:17">
      <c r="A6" s="1054" t="s">
        <v>960</v>
      </c>
    </row>
    <row r="7" spans="1:17">
      <c r="A7" s="1232" t="s">
        <v>1085</v>
      </c>
      <c r="B7" s="1232"/>
      <c r="C7" s="1232"/>
      <c r="D7" s="1232"/>
      <c r="E7" s="1232"/>
      <c r="F7" s="1232"/>
      <c r="G7" s="1232"/>
      <c r="H7" s="1232"/>
      <c r="I7" s="1232"/>
      <c r="J7" s="1232"/>
      <c r="K7" s="1232"/>
      <c r="L7" s="1232"/>
      <c r="M7" s="1232"/>
      <c r="N7" s="1232"/>
    </row>
    <row r="9" spans="1:17">
      <c r="A9" s="1062" t="s">
        <v>150</v>
      </c>
      <c r="B9" s="1063" t="s">
        <v>151</v>
      </c>
      <c r="C9" s="1063"/>
      <c r="D9" s="1063" t="s">
        <v>152</v>
      </c>
      <c r="E9" s="1063" t="s">
        <v>153</v>
      </c>
      <c r="F9" s="1063" t="s">
        <v>154</v>
      </c>
      <c r="G9" s="1063"/>
      <c r="H9" s="1063" t="s">
        <v>1086</v>
      </c>
      <c r="I9" s="1063"/>
      <c r="J9" s="1063" t="s">
        <v>156</v>
      </c>
      <c r="K9" s="1063"/>
      <c r="L9" s="1063" t="s">
        <v>1087</v>
      </c>
      <c r="M9" s="1063" t="s">
        <v>158</v>
      </c>
      <c r="N9" s="1064" t="s">
        <v>1088</v>
      </c>
      <c r="Q9" s="1233"/>
    </row>
    <row r="10" spans="1:17" ht="15">
      <c r="F10" s="1065"/>
      <c r="G10" s="1065"/>
      <c r="H10" s="1065"/>
      <c r="Q10" s="1233"/>
    </row>
    <row r="11" spans="1:17" ht="38.25">
      <c r="A11" s="1054" t="s">
        <v>1089</v>
      </c>
      <c r="B11" s="1055" t="s">
        <v>1090</v>
      </c>
      <c r="D11" s="1066" t="s">
        <v>1091</v>
      </c>
      <c r="E11" s="1063" t="s">
        <v>973</v>
      </c>
      <c r="F11" s="1066" t="s">
        <v>1092</v>
      </c>
      <c r="G11" s="1066"/>
      <c r="H11" s="1066" t="s">
        <v>1093</v>
      </c>
      <c r="I11" s="1065"/>
      <c r="J11" s="1066" t="s">
        <v>1094</v>
      </c>
      <c r="L11" s="1066" t="s">
        <v>1095</v>
      </c>
      <c r="M11" s="1066" t="s">
        <v>1096</v>
      </c>
      <c r="N11" s="1067" t="s">
        <v>1097</v>
      </c>
    </row>
    <row r="12" spans="1:17">
      <c r="D12" s="1066"/>
      <c r="E12" s="1063"/>
      <c r="F12" s="1066"/>
      <c r="G12" s="1066"/>
      <c r="H12" s="1066"/>
      <c r="J12" s="1066"/>
      <c r="L12" s="1066"/>
      <c r="N12" s="1068"/>
    </row>
    <row r="13" spans="1:17">
      <c r="A13" s="1069" t="s">
        <v>1098</v>
      </c>
      <c r="D13" s="1058"/>
      <c r="E13" s="1058"/>
      <c r="F13" s="1070"/>
      <c r="G13" s="1070"/>
      <c r="H13" s="1070"/>
      <c r="I13" s="1070"/>
      <c r="J13" s="1070"/>
      <c r="K13" s="1070"/>
      <c r="L13" s="1058"/>
      <c r="M13" s="1058"/>
    </row>
    <row r="14" spans="1:17">
      <c r="A14" s="1069"/>
      <c r="D14" s="1058"/>
      <c r="E14" s="1058"/>
      <c r="F14" s="1070"/>
      <c r="G14" s="1070"/>
      <c r="H14" s="1070"/>
      <c r="I14" s="1070"/>
      <c r="J14" s="1070"/>
      <c r="K14" s="1070"/>
      <c r="L14" s="1058"/>
      <c r="M14" s="1058"/>
    </row>
    <row r="15" spans="1:17" ht="15.6" customHeight="1">
      <c r="A15" s="1071">
        <v>1</v>
      </c>
      <c r="B15" s="1072" t="s">
        <v>1099</v>
      </c>
      <c r="D15" s="1058">
        <v>19789201</v>
      </c>
      <c r="E15" s="1058" t="s">
        <v>1100</v>
      </c>
      <c r="M15" s="1058"/>
    </row>
    <row r="16" spans="1:17" ht="15">
      <c r="A16" s="1071">
        <f>+A15+1</f>
        <v>2</v>
      </c>
      <c r="B16" s="1072"/>
      <c r="D16" s="1073">
        <v>9030721</v>
      </c>
      <c r="E16" s="1058" t="s">
        <v>1101</v>
      </c>
      <c r="F16" s="1065"/>
      <c r="G16" s="1065"/>
      <c r="H16" s="1065"/>
      <c r="I16" s="1074"/>
      <c r="J16" s="1065"/>
      <c r="K16" s="1070"/>
      <c r="L16" s="1065"/>
      <c r="M16" s="1058"/>
    </row>
    <row r="17" spans="1:15">
      <c r="A17" s="1071">
        <f>++A16+1</f>
        <v>3</v>
      </c>
      <c r="B17" s="1072" t="s">
        <v>1102</v>
      </c>
      <c r="D17" s="1058">
        <f>+D15-D16</f>
        <v>10758480</v>
      </c>
      <c r="E17" s="1072"/>
      <c r="F17" s="1070">
        <v>4187586.14</v>
      </c>
      <c r="G17" s="1070"/>
      <c r="H17" s="1075">
        <f>+F17/D17</f>
        <v>0.38923585302012925</v>
      </c>
      <c r="I17" s="1074"/>
      <c r="J17" s="1070">
        <f>-F17</f>
        <v>-4187586.14</v>
      </c>
      <c r="K17" s="1070"/>
      <c r="L17" s="1070">
        <f>+F17+J17</f>
        <v>0</v>
      </c>
      <c r="M17" s="1058"/>
      <c r="N17" s="1058">
        <f>+D17-L17</f>
        <v>10758480</v>
      </c>
    </row>
    <row r="18" spans="1:15">
      <c r="A18" s="1071"/>
      <c r="B18" s="1072"/>
      <c r="D18" s="1058"/>
      <c r="E18" s="1058"/>
      <c r="F18" s="1075"/>
      <c r="G18" s="1075"/>
      <c r="H18" s="1075"/>
      <c r="I18" s="1074"/>
      <c r="J18" s="1070"/>
      <c r="K18" s="1070"/>
      <c r="L18" s="1070"/>
      <c r="M18" s="1058"/>
    </row>
    <row r="19" spans="1:15">
      <c r="A19" s="1071">
        <f>+A17+1</f>
        <v>4</v>
      </c>
      <c r="B19" s="1072" t="s">
        <v>1103</v>
      </c>
      <c r="D19" s="1058">
        <v>-55503729</v>
      </c>
      <c r="E19" s="1058" t="s">
        <v>1104</v>
      </c>
      <c r="F19" s="1070">
        <v>-22201491.760000002</v>
      </c>
      <c r="G19" s="1070"/>
      <c r="H19" s="1075">
        <f>+F19/D19</f>
        <v>0.40000000288268922</v>
      </c>
      <c r="I19" s="1234"/>
      <c r="J19" s="1070">
        <v>0</v>
      </c>
      <c r="K19" s="1070"/>
      <c r="L19" s="1070">
        <f>+F19+J19</f>
        <v>-22201491.760000002</v>
      </c>
      <c r="M19" s="1058" t="s">
        <v>994</v>
      </c>
      <c r="N19" s="1058">
        <f>+D19-L19</f>
        <v>-33302237.239999998</v>
      </c>
    </row>
    <row r="20" spans="1:15">
      <c r="A20" s="1071"/>
      <c r="B20" s="1072"/>
      <c r="D20" s="1058"/>
      <c r="E20" s="1058"/>
      <c r="F20" s="1076"/>
      <c r="G20" s="1076"/>
      <c r="H20" s="1076"/>
      <c r="I20" s="1234"/>
      <c r="J20" s="1070"/>
      <c r="K20" s="1070"/>
      <c r="L20" s="1070"/>
      <c r="M20" s="1058"/>
    </row>
    <row r="21" spans="1:15">
      <c r="A21" s="1071">
        <f>+A19+1</f>
        <v>5</v>
      </c>
      <c r="B21" s="1072" t="s">
        <v>1105</v>
      </c>
      <c r="D21" s="1058">
        <v>-371506325</v>
      </c>
      <c r="E21" s="1058" t="s">
        <v>1106</v>
      </c>
      <c r="F21" s="1070">
        <v>-148733826.88999999</v>
      </c>
      <c r="G21" s="1070"/>
      <c r="H21" s="1075">
        <f>+F21/D21</f>
        <v>0.40035341764369686</v>
      </c>
      <c r="I21" s="1235"/>
      <c r="J21" s="1070">
        <v>-2055012.08</v>
      </c>
      <c r="K21" s="1070"/>
      <c r="L21" s="1070">
        <f>+F21+J21-L22</f>
        <v>-92216053.969999999</v>
      </c>
      <c r="M21" s="1058" t="s">
        <v>984</v>
      </c>
      <c r="N21" s="1058">
        <f>+D21-L21-L22</f>
        <v>-220717486.02999997</v>
      </c>
    </row>
    <row r="22" spans="1:15">
      <c r="A22" s="1071"/>
      <c r="B22" s="1072"/>
      <c r="D22" s="1058"/>
      <c r="E22" s="1058"/>
      <c r="I22" s="1235"/>
      <c r="J22" s="1070"/>
      <c r="K22" s="1070"/>
      <c r="L22" s="1070">
        <v>-58572785</v>
      </c>
      <c r="M22" s="1058" t="s">
        <v>994</v>
      </c>
    </row>
    <row r="23" spans="1:15">
      <c r="A23" s="1071">
        <f>+A21+1</f>
        <v>6</v>
      </c>
      <c r="B23" s="1072" t="s">
        <v>1107</v>
      </c>
      <c r="D23" s="1058">
        <v>-118472531</v>
      </c>
      <c r="E23" s="1058" t="s">
        <v>1108</v>
      </c>
      <c r="O23" s="1055"/>
    </row>
    <row r="24" spans="1:15" ht="15">
      <c r="A24" s="1071"/>
      <c r="B24" s="1072"/>
      <c r="D24" s="1073">
        <f>-4398017-787311</f>
        <v>-5185328</v>
      </c>
      <c r="E24" s="1058" t="s">
        <v>1109</v>
      </c>
      <c r="F24" s="1065"/>
      <c r="G24" s="1065"/>
      <c r="H24" s="1065"/>
      <c r="I24" s="1077"/>
      <c r="J24" s="1070"/>
      <c r="K24" s="1070"/>
      <c r="L24" s="1070"/>
      <c r="M24" s="1058"/>
    </row>
    <row r="25" spans="1:15">
      <c r="A25" s="1071">
        <f>+A23+1</f>
        <v>7</v>
      </c>
      <c r="B25" s="1078" t="s">
        <v>1110</v>
      </c>
      <c r="D25" s="1058">
        <f>+D23-D24</f>
        <v>-113287203</v>
      </c>
      <c r="E25" s="1058"/>
      <c r="F25" s="1070">
        <v>-45314881.399999999</v>
      </c>
      <c r="G25" s="1070"/>
      <c r="H25" s="1075">
        <f>+F25/D25</f>
        <v>0.40000000176542444</v>
      </c>
      <c r="I25" s="1077"/>
      <c r="J25" s="1070">
        <f>-J17-J21</f>
        <v>6242598.2200000007</v>
      </c>
      <c r="K25" s="1070"/>
      <c r="L25" s="1070">
        <f>+F25+J25</f>
        <v>-39072283.18</v>
      </c>
      <c r="M25" s="1058" t="s">
        <v>994</v>
      </c>
      <c r="N25" s="1058">
        <f>+D25-L25</f>
        <v>-74214919.819999993</v>
      </c>
    </row>
    <row r="26" spans="1:15">
      <c r="A26" s="1071"/>
      <c r="D26" s="1058"/>
      <c r="E26" s="1058"/>
      <c r="F26" s="1070"/>
      <c r="G26" s="1070"/>
      <c r="H26" s="1070"/>
      <c r="I26" s="1070"/>
      <c r="J26" s="1070"/>
      <c r="K26" s="1070"/>
      <c r="L26" s="1070"/>
      <c r="M26" s="1058"/>
    </row>
    <row r="27" spans="1:15">
      <c r="A27" s="1071">
        <f>+A25+1</f>
        <v>8</v>
      </c>
      <c r="B27" s="1055" t="s">
        <v>120</v>
      </c>
      <c r="D27" s="1079">
        <f>+D25+D21+D19+D17</f>
        <v>-529538777</v>
      </c>
      <c r="E27" s="1055" t="s">
        <v>1111</v>
      </c>
      <c r="F27" s="1080">
        <f>SUM(F16:F25)</f>
        <v>-212062613.91</v>
      </c>
      <c r="G27" s="1081"/>
      <c r="H27" s="1081"/>
      <c r="J27" s="1080">
        <f>SUM(J16:J25)</f>
        <v>0</v>
      </c>
      <c r="K27" s="1070"/>
      <c r="L27" s="1080">
        <f>SUM(L16:L25)</f>
        <v>-212062613.91000003</v>
      </c>
      <c r="M27" s="1058"/>
      <c r="N27" s="1080">
        <f>SUM(N16:N25)</f>
        <v>-317476163.08999997</v>
      </c>
    </row>
    <row r="28" spans="1:15">
      <c r="A28" s="1071"/>
      <c r="D28" s="1058"/>
      <c r="E28" s="1058"/>
      <c r="F28" s="1075"/>
      <c r="G28" s="1075"/>
      <c r="H28" s="1075"/>
      <c r="I28" s="1070"/>
      <c r="J28" s="1070"/>
      <c r="K28" s="1070"/>
      <c r="L28" s="1070"/>
      <c r="M28" s="1058"/>
    </row>
    <row r="29" spans="1:15" ht="15">
      <c r="A29" s="1082" t="s">
        <v>1112</v>
      </c>
      <c r="B29" s="1065"/>
      <c r="C29" s="1065"/>
      <c r="D29" s="1065"/>
      <c r="E29" s="1065"/>
      <c r="F29" s="1065"/>
      <c r="G29" s="1065"/>
      <c r="H29" s="1065"/>
      <c r="I29" s="1070"/>
      <c r="J29" s="1070"/>
      <c r="K29" s="1070"/>
      <c r="M29" s="1058"/>
    </row>
    <row r="30" spans="1:15">
      <c r="A30" s="1055"/>
      <c r="F30" s="1076"/>
      <c r="G30" s="1076"/>
      <c r="H30" s="1076"/>
      <c r="J30" s="1070"/>
      <c r="K30" s="1070"/>
      <c r="M30" s="1058"/>
    </row>
    <row r="31" spans="1:15">
      <c r="A31" s="1071">
        <f>+A27+1</f>
        <v>9</v>
      </c>
      <c r="B31" s="1072" t="s">
        <v>1102</v>
      </c>
      <c r="D31" s="1058">
        <v>3999147.18</v>
      </c>
      <c r="E31" s="1072" t="s">
        <v>1113</v>
      </c>
      <c r="F31" s="1070">
        <v>1592807.27</v>
      </c>
      <c r="G31" s="1070"/>
      <c r="H31" s="1075">
        <f>+F31/D31</f>
        <v>0.39828673422317001</v>
      </c>
      <c r="J31" s="1070">
        <f>-F31</f>
        <v>-1592807.27</v>
      </c>
      <c r="K31" s="1070"/>
      <c r="L31" s="1070">
        <f>+F31+J31</f>
        <v>0</v>
      </c>
      <c r="N31" s="1058">
        <f>+D31-L31</f>
        <v>3999147.18</v>
      </c>
    </row>
    <row r="32" spans="1:15">
      <c r="A32" s="1071"/>
      <c r="B32" s="1072"/>
      <c r="D32" s="1058"/>
      <c r="E32" s="1058"/>
      <c r="F32" s="1075"/>
      <c r="G32" s="1075"/>
      <c r="H32" s="1075"/>
      <c r="J32" s="1070"/>
      <c r="K32" s="1070"/>
      <c r="L32" s="1070"/>
    </row>
    <row r="33" spans="1:16">
      <c r="A33" s="1071">
        <f>+A31+1</f>
        <v>10</v>
      </c>
      <c r="B33" s="1072" t="s">
        <v>1105</v>
      </c>
      <c r="D33" s="1058">
        <v>-87657515.439999998</v>
      </c>
      <c r="E33" s="1058" t="s">
        <v>1114</v>
      </c>
      <c r="F33" s="1070">
        <v>-35180892.170000002</v>
      </c>
      <c r="G33" s="1070"/>
      <c r="H33" s="1075">
        <f>+F33/D33</f>
        <v>0.40134484753997723</v>
      </c>
      <c r="J33" s="1070">
        <v>-566145</v>
      </c>
      <c r="K33" s="1070"/>
      <c r="L33" s="1070">
        <f>+F33+J33-L34</f>
        <v>-35312263.170000002</v>
      </c>
      <c r="M33" s="1058" t="s">
        <v>984</v>
      </c>
      <c r="N33" s="1058">
        <f>+D33-L33-L34</f>
        <v>-51910478.269999996</v>
      </c>
    </row>
    <row r="34" spans="1:16">
      <c r="A34" s="1071"/>
      <c r="B34" s="1072"/>
      <c r="D34" s="1058"/>
      <c r="E34" s="1058"/>
      <c r="F34" s="1070"/>
      <c r="G34" s="1070"/>
      <c r="H34" s="1075"/>
      <c r="J34" s="1070"/>
      <c r="K34" s="1070"/>
      <c r="L34" s="1070">
        <v>-434774</v>
      </c>
      <c r="M34" s="1058" t="s">
        <v>994</v>
      </c>
    </row>
    <row r="35" spans="1:16">
      <c r="A35" s="1071"/>
      <c r="B35" s="1072"/>
      <c r="D35" s="1058"/>
      <c r="E35" s="1058"/>
      <c r="F35" s="1076"/>
      <c r="G35" s="1076"/>
      <c r="H35" s="1076"/>
      <c r="J35" s="1070"/>
      <c r="K35" s="1070"/>
      <c r="L35" s="1070"/>
      <c r="O35" s="1083"/>
    </row>
    <row r="36" spans="1:16">
      <c r="A36" s="1071">
        <f>+A33+1</f>
        <v>11</v>
      </c>
      <c r="B36" s="1072" t="s">
        <v>1110</v>
      </c>
      <c r="D36" s="1084">
        <v>-1317321.96</v>
      </c>
      <c r="E36" s="1058" t="s">
        <v>1115</v>
      </c>
      <c r="F36" s="1070">
        <v>-526928.75000000012</v>
      </c>
      <c r="G36" s="1070"/>
      <c r="H36" s="1075">
        <f>+F36/D36</f>
        <v>0.39999997419006067</v>
      </c>
      <c r="J36" s="1070">
        <f>-J31-J33</f>
        <v>2158952.27</v>
      </c>
      <c r="K36" s="1070"/>
      <c r="L36" s="1070">
        <f>+F36+J36</f>
        <v>1632023.52</v>
      </c>
      <c r="M36" s="1058" t="s">
        <v>994</v>
      </c>
      <c r="N36" s="1058">
        <f>+D36-L36</f>
        <v>-2949345.48</v>
      </c>
    </row>
    <row r="37" spans="1:16">
      <c r="A37" s="1071"/>
      <c r="D37" s="1085"/>
      <c r="E37" s="1058"/>
      <c r="F37" s="1075"/>
      <c r="G37" s="1075"/>
      <c r="H37" s="1075"/>
      <c r="J37" s="1070"/>
      <c r="K37" s="1070"/>
      <c r="L37" s="1070"/>
    </row>
    <row r="38" spans="1:16">
      <c r="A38" s="1071">
        <f>+A36+1</f>
        <v>12</v>
      </c>
      <c r="B38" s="1055" t="s">
        <v>120</v>
      </c>
      <c r="D38" s="1079">
        <f>+D31+D33+D36</f>
        <v>-84975690.219999984</v>
      </c>
      <c r="F38" s="1080">
        <f>SUM(F31:F36)</f>
        <v>-34115013.649999999</v>
      </c>
      <c r="G38" s="1081"/>
      <c r="H38" s="1081"/>
      <c r="J38" s="1080">
        <f>SUM(J31:J36)</f>
        <v>0</v>
      </c>
      <c r="K38" s="1070"/>
      <c r="L38" s="1080">
        <f>SUM(L31:L36)</f>
        <v>-34115013.649999999</v>
      </c>
      <c r="N38" s="1080">
        <f>SUM(N31:N36)</f>
        <v>-50860676.569999993</v>
      </c>
    </row>
    <row r="39" spans="1:16" ht="15">
      <c r="A39" s="1071"/>
      <c r="B39" s="1065"/>
      <c r="C39" s="1065"/>
      <c r="D39" s="1065"/>
      <c r="E39" s="1065"/>
      <c r="F39" s="1065"/>
      <c r="G39" s="1065"/>
      <c r="H39" s="1065"/>
      <c r="I39" s="1065"/>
      <c r="J39" s="1065"/>
    </row>
    <row r="40" spans="1:16" ht="15">
      <c r="A40" s="1086"/>
      <c r="B40" s="1065"/>
      <c r="C40" s="1065"/>
      <c r="D40" s="1065"/>
      <c r="E40" s="1065"/>
      <c r="F40" s="1065"/>
      <c r="G40" s="1065"/>
      <c r="H40" s="1065"/>
      <c r="I40" s="1065"/>
      <c r="J40" s="1065"/>
    </row>
    <row r="41" spans="1:16" ht="15">
      <c r="A41" s="1086"/>
      <c r="B41" s="1065"/>
      <c r="C41" s="1065"/>
      <c r="D41" s="1065"/>
      <c r="E41" s="1065"/>
      <c r="F41" s="1065"/>
      <c r="G41" s="1065"/>
      <c r="H41" s="1065"/>
      <c r="I41" s="1065"/>
      <c r="J41" s="1065"/>
    </row>
    <row r="42" spans="1:16" ht="15">
      <c r="A42" s="1230" t="s">
        <v>1116</v>
      </c>
      <c r="B42" s="1230"/>
      <c r="C42" s="1230"/>
      <c r="D42" s="1230"/>
      <c r="E42" s="1230"/>
      <c r="F42" s="1230"/>
      <c r="G42" s="1230"/>
      <c r="H42" s="1230"/>
      <c r="J42" s="1065"/>
    </row>
    <row r="43" spans="1:16" ht="15">
      <c r="A43" s="1230"/>
      <c r="B43" s="1230"/>
      <c r="C43" s="1230"/>
      <c r="D43" s="1230"/>
      <c r="E43" s="1230"/>
      <c r="F43" s="1230"/>
      <c r="G43" s="1230"/>
      <c r="H43" s="1230"/>
      <c r="J43" s="1065"/>
    </row>
    <row r="44" spans="1:16" ht="15">
      <c r="A44" s="1230"/>
      <c r="B44" s="1230"/>
      <c r="C44" s="1230"/>
      <c r="D44" s="1230"/>
      <c r="E44" s="1230"/>
      <c r="F44" s="1230"/>
      <c r="G44" s="1230"/>
      <c r="H44" s="1230"/>
      <c r="J44" s="1065"/>
    </row>
    <row r="45" spans="1:16" ht="15">
      <c r="A45" s="1230"/>
      <c r="B45" s="1230"/>
      <c r="C45" s="1230"/>
      <c r="D45" s="1230"/>
      <c r="E45" s="1230"/>
      <c r="F45" s="1230"/>
      <c r="G45" s="1230"/>
      <c r="H45" s="1230"/>
      <c r="J45" s="1065"/>
    </row>
    <row r="46" spans="1:16" ht="15">
      <c r="A46" s="1071"/>
      <c r="J46" s="1065"/>
    </row>
    <row r="47" spans="1:16" ht="15">
      <c r="A47" s="1054" t="s">
        <v>1117</v>
      </c>
      <c r="B47" s="1230" t="s">
        <v>1118</v>
      </c>
      <c r="C47" s="1230"/>
      <c r="D47" s="1230"/>
      <c r="E47" s="1230"/>
      <c r="F47" s="1230"/>
      <c r="G47" s="1230"/>
      <c r="H47" s="1230"/>
      <c r="J47" s="1065"/>
    </row>
    <row r="48" spans="1:16" ht="15.6" customHeight="1">
      <c r="B48" s="1230"/>
      <c r="C48" s="1230"/>
      <c r="D48" s="1230"/>
      <c r="E48" s="1230"/>
      <c r="F48" s="1230"/>
      <c r="G48" s="1230"/>
      <c r="H48" s="1230"/>
      <c r="J48" s="1065"/>
      <c r="K48" s="1065"/>
      <c r="L48" s="1065"/>
      <c r="M48" s="1065"/>
      <c r="N48" s="1087"/>
      <c r="O48" s="1065"/>
      <c r="P48" s="1065"/>
    </row>
    <row r="49" spans="1:18" ht="15">
      <c r="B49" s="1230"/>
      <c r="C49" s="1230"/>
      <c r="D49" s="1230"/>
      <c r="E49" s="1230"/>
      <c r="F49" s="1230"/>
      <c r="G49" s="1230"/>
      <c r="H49" s="1230"/>
      <c r="J49" s="1065"/>
      <c r="K49" s="1065"/>
      <c r="L49" s="1065"/>
      <c r="M49" s="1065"/>
      <c r="N49" s="1087"/>
      <c r="O49" s="1065"/>
      <c r="P49" s="1065"/>
    </row>
    <row r="50" spans="1:18" ht="15">
      <c r="A50" s="1055"/>
      <c r="I50" s="1065"/>
      <c r="J50" s="1065"/>
      <c r="K50" s="1065"/>
      <c r="L50" s="1065"/>
      <c r="M50" s="1065"/>
      <c r="N50" s="1087"/>
      <c r="O50" s="1065"/>
      <c r="P50" s="1065"/>
    </row>
    <row r="51" spans="1:18" ht="15.6" customHeight="1">
      <c r="A51" s="1054" t="s">
        <v>1119</v>
      </c>
      <c r="B51" s="1230" t="s">
        <v>1120</v>
      </c>
      <c r="C51" s="1230"/>
      <c r="D51" s="1230"/>
      <c r="E51" s="1230"/>
      <c r="F51" s="1230"/>
      <c r="G51" s="1230"/>
      <c r="H51" s="1230"/>
      <c r="J51" s="1065"/>
      <c r="K51" s="1065"/>
      <c r="L51" s="1065"/>
      <c r="M51" s="1065"/>
      <c r="N51" s="1087"/>
      <c r="O51" s="1065"/>
      <c r="P51" s="1065"/>
    </row>
    <row r="52" spans="1:18" ht="15">
      <c r="B52" s="1230"/>
      <c r="C52" s="1230"/>
      <c r="D52" s="1230"/>
      <c r="E52" s="1230"/>
      <c r="F52" s="1230"/>
      <c r="G52" s="1230"/>
      <c r="H52" s="1230"/>
      <c r="J52" s="1065"/>
      <c r="K52" s="1065"/>
      <c r="L52" s="1065"/>
      <c r="M52" s="1065"/>
      <c r="N52" s="1087"/>
      <c r="O52" s="1065"/>
      <c r="P52" s="1065"/>
    </row>
    <row r="53" spans="1:18" ht="15">
      <c r="A53" s="1055"/>
      <c r="J53" s="1065"/>
      <c r="K53" s="1065"/>
      <c r="L53" s="1065"/>
      <c r="M53" s="1065"/>
      <c r="N53" s="1087"/>
      <c r="O53" s="1065"/>
      <c r="P53" s="1065"/>
    </row>
    <row r="54" spans="1:18" ht="15">
      <c r="A54" s="1054" t="s">
        <v>1121</v>
      </c>
      <c r="B54" s="1230" t="s">
        <v>1122</v>
      </c>
      <c r="C54" s="1230"/>
      <c r="D54" s="1230"/>
      <c r="E54" s="1230"/>
      <c r="F54" s="1230"/>
      <c r="G54" s="1230"/>
      <c r="H54" s="1230"/>
      <c r="I54" s="1230"/>
      <c r="J54" s="1065"/>
      <c r="K54" s="1065"/>
      <c r="L54" s="1065"/>
      <c r="M54" s="1065"/>
      <c r="N54" s="1087"/>
      <c r="O54" s="1065"/>
      <c r="P54" s="1065"/>
    </row>
    <row r="55" spans="1:18" ht="15">
      <c r="A55" s="1088"/>
      <c r="B55" s="1230"/>
      <c r="C55" s="1230"/>
      <c r="D55" s="1230"/>
      <c r="E55" s="1230"/>
      <c r="F55" s="1230"/>
      <c r="G55" s="1230"/>
      <c r="H55" s="1230"/>
      <c r="I55" s="1230"/>
      <c r="J55" s="1065"/>
      <c r="K55" s="1065"/>
      <c r="L55" s="1065"/>
      <c r="M55" s="1065"/>
      <c r="N55" s="1087"/>
      <c r="O55" s="1065"/>
      <c r="P55" s="1065"/>
    </row>
    <row r="56" spans="1:18" ht="15">
      <c r="A56" s="1055"/>
      <c r="J56" s="1065"/>
      <c r="K56" s="1065"/>
      <c r="L56" s="1065"/>
      <c r="M56" s="1065"/>
      <c r="N56" s="1087"/>
      <c r="O56" s="1065"/>
      <c r="P56" s="1065"/>
    </row>
    <row r="57" spans="1:18" ht="15" customHeight="1">
      <c r="A57" s="1055" t="s">
        <v>1123</v>
      </c>
      <c r="B57" s="1231" t="s">
        <v>1124</v>
      </c>
      <c r="C57" s="1231"/>
      <c r="D57" s="1231"/>
      <c r="E57" s="1231"/>
      <c r="F57" s="1231"/>
      <c r="J57" s="1065"/>
      <c r="K57" s="1065"/>
      <c r="L57" s="1065"/>
      <c r="M57" s="1065"/>
      <c r="N57" s="1087"/>
      <c r="O57" s="1065"/>
      <c r="P57" s="1065"/>
    </row>
    <row r="58" spans="1:18" s="1058" customFormat="1" ht="15">
      <c r="A58" s="1054"/>
      <c r="B58" s="1231"/>
      <c r="C58" s="1231"/>
      <c r="D58" s="1231"/>
      <c r="E58" s="1231"/>
      <c r="F58" s="1231"/>
      <c r="G58" s="1055"/>
      <c r="H58" s="1055"/>
      <c r="I58" s="1055"/>
      <c r="J58" s="1065"/>
      <c r="K58" s="1065"/>
      <c r="L58" s="1065"/>
      <c r="M58" s="1065"/>
      <c r="N58" s="1087"/>
      <c r="O58" s="1065"/>
      <c r="P58" s="1065"/>
      <c r="Q58" s="1055"/>
      <c r="R58" s="1055"/>
    </row>
    <row r="59" spans="1:18" s="1058" customFormat="1" ht="15">
      <c r="A59" s="1065"/>
      <c r="B59" s="1065"/>
      <c r="C59" s="1065"/>
      <c r="D59" s="1065"/>
      <c r="E59" s="1065"/>
      <c r="F59" s="1065"/>
      <c r="G59" s="1065"/>
      <c r="H59" s="1065"/>
      <c r="I59" s="1065"/>
      <c r="J59" s="1065"/>
      <c r="K59" s="1065"/>
      <c r="L59" s="1065"/>
      <c r="M59" s="1065"/>
      <c r="N59" s="1087"/>
      <c r="O59" s="1065"/>
      <c r="P59" s="1065"/>
      <c r="Q59" s="1055"/>
      <c r="R59" s="1055"/>
    </row>
    <row r="60" spans="1:18" s="1058" customFormat="1" ht="15">
      <c r="A60" s="1088"/>
      <c r="B60" s="1065"/>
      <c r="C60" s="1065"/>
      <c r="D60" s="1065"/>
      <c r="E60" s="1065"/>
      <c r="F60" s="1065"/>
      <c r="G60" s="1065"/>
      <c r="H60" s="1065"/>
      <c r="I60" s="1065"/>
      <c r="J60" s="1065"/>
      <c r="K60" s="1065"/>
      <c r="L60" s="1065"/>
      <c r="M60" s="1065"/>
      <c r="N60" s="1087"/>
      <c r="O60" s="1065"/>
      <c r="P60" s="1065"/>
      <c r="Q60" s="1055"/>
      <c r="R60" s="1055"/>
    </row>
    <row r="61" spans="1:18" s="1058" customFormat="1" ht="15">
      <c r="A61" s="1088"/>
      <c r="B61" s="1065"/>
      <c r="C61" s="1065"/>
      <c r="D61" s="1065"/>
      <c r="E61" s="1065"/>
      <c r="F61" s="1065"/>
      <c r="G61" s="1065"/>
      <c r="H61" s="1065"/>
      <c r="I61" s="1065"/>
      <c r="J61" s="1065"/>
      <c r="K61" s="1065"/>
      <c r="L61" s="1065"/>
      <c r="M61" s="1065"/>
      <c r="N61" s="1087"/>
      <c r="O61" s="1065"/>
      <c r="P61" s="1065"/>
      <c r="Q61" s="1055"/>
      <c r="R61" s="1055"/>
    </row>
    <row r="62" spans="1:18" s="1058" customFormat="1" ht="15">
      <c r="A62" s="1088"/>
      <c r="B62" s="1065"/>
      <c r="C62" s="1065"/>
      <c r="D62" s="1065"/>
      <c r="E62" s="1065"/>
      <c r="F62" s="1065"/>
      <c r="G62" s="1065"/>
      <c r="H62" s="1065"/>
      <c r="I62" s="1065"/>
      <c r="J62" s="1065"/>
      <c r="K62" s="1065"/>
      <c r="L62" s="1065"/>
      <c r="M62" s="1065"/>
      <c r="N62" s="1087"/>
      <c r="O62" s="1065"/>
      <c r="P62" s="1065"/>
      <c r="Q62" s="1055"/>
      <c r="R62" s="1055"/>
    </row>
    <row r="63" spans="1:18" s="1058" customFormat="1" ht="15">
      <c r="A63" s="1088"/>
      <c r="B63" s="1065"/>
      <c r="C63" s="1065"/>
      <c r="D63" s="1065"/>
      <c r="E63" s="1065"/>
      <c r="F63" s="1065"/>
      <c r="G63" s="1065"/>
      <c r="H63" s="1065"/>
      <c r="I63" s="1065"/>
      <c r="J63" s="1065"/>
      <c r="K63" s="1065"/>
      <c r="L63" s="1065"/>
      <c r="M63" s="1065"/>
      <c r="N63" s="1087"/>
      <c r="O63" s="1065"/>
      <c r="P63" s="1065"/>
      <c r="Q63" s="1055"/>
      <c r="R63" s="1055"/>
    </row>
    <row r="64" spans="1:18" s="1058" customFormat="1" ht="15">
      <c r="A64" s="1088"/>
      <c r="B64" s="1065"/>
      <c r="C64" s="1065"/>
      <c r="D64" s="1065"/>
      <c r="E64" s="1065"/>
      <c r="F64" s="1065"/>
      <c r="G64" s="1065"/>
      <c r="H64" s="1065"/>
      <c r="I64" s="1065"/>
      <c r="J64" s="1065"/>
      <c r="K64" s="1065"/>
      <c r="L64" s="1065"/>
      <c r="M64" s="1065"/>
      <c r="N64" s="1087"/>
      <c r="O64" s="1065"/>
      <c r="P64" s="1065"/>
      <c r="Q64" s="1055"/>
      <c r="R64" s="1055"/>
    </row>
    <row r="66" spans="2:10" ht="15">
      <c r="B66" s="1054"/>
      <c r="C66" s="1089"/>
      <c r="D66" s="1089"/>
      <c r="E66" s="1089"/>
      <c r="F66" s="1089"/>
      <c r="G66" s="1089"/>
      <c r="H66" s="1089"/>
      <c r="I66" s="1089"/>
      <c r="J66" s="1065"/>
    </row>
    <row r="67" spans="2:10">
      <c r="B67" s="1054"/>
      <c r="C67" s="1089"/>
      <c r="D67" s="1089"/>
      <c r="E67" s="1089"/>
      <c r="F67" s="1089"/>
      <c r="G67" s="1089"/>
      <c r="H67" s="1089"/>
      <c r="I67" s="1089"/>
    </row>
    <row r="68" spans="2:10">
      <c r="B68" s="1054"/>
    </row>
    <row r="69" spans="2:10">
      <c r="B69" s="1054"/>
      <c r="C69" s="1089"/>
      <c r="D69" s="1089"/>
      <c r="E69" s="1089"/>
      <c r="F69" s="1089"/>
      <c r="G69" s="1089"/>
      <c r="H69" s="1089"/>
      <c r="I69" s="1089"/>
      <c r="J69" s="1089"/>
    </row>
    <row r="70" spans="2:10">
      <c r="B70" s="1054"/>
      <c r="C70" s="1089"/>
      <c r="D70" s="1089"/>
      <c r="E70" s="1089"/>
      <c r="F70" s="1089"/>
      <c r="G70" s="1089"/>
      <c r="H70" s="1089"/>
      <c r="I70" s="1089"/>
      <c r="J70" s="1089"/>
    </row>
    <row r="72" spans="2:10">
      <c r="B72" s="1054"/>
      <c r="C72" s="1090"/>
      <c r="D72" s="1090"/>
      <c r="E72" s="1090"/>
      <c r="F72" s="1090"/>
      <c r="G72" s="1090"/>
    </row>
    <row r="73" spans="2:10" ht="15">
      <c r="B73" s="1088"/>
      <c r="C73" s="1090"/>
      <c r="D73" s="1090"/>
      <c r="E73" s="1090"/>
      <c r="F73" s="1090"/>
      <c r="G73" s="1090"/>
    </row>
  </sheetData>
  <mergeCells count="9">
    <mergeCell ref="B51:H52"/>
    <mergeCell ref="B54:I55"/>
    <mergeCell ref="B57:F58"/>
    <mergeCell ref="A7:N7"/>
    <mergeCell ref="Q9:Q10"/>
    <mergeCell ref="I19:I20"/>
    <mergeCell ref="I21:I22"/>
    <mergeCell ref="A42:H45"/>
    <mergeCell ref="B47:H49"/>
  </mergeCells>
  <pageMargins left="0.7" right="0.7" top="0.75" bottom="0.75" header="0.3" footer="0.3"/>
  <pageSetup scale="61"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O95"/>
  <sheetViews>
    <sheetView tabSelected="1" view="pageBreakPreview" topLeftCell="A33" zoomScale="85" zoomScaleNormal="85" zoomScaleSheetLayoutView="85" workbookViewId="0">
      <selection activeCell="D9" sqref="D9"/>
    </sheetView>
  </sheetViews>
  <sheetFormatPr defaultColWidth="11.42578125" defaultRowHeight="12.75"/>
  <cols>
    <col min="1" max="1" width="8.140625" style="58" customWidth="1"/>
    <col min="2" max="2" width="16.5703125" style="57" bestFit="1" customWidth="1"/>
    <col min="3" max="3" width="44.140625" style="57" customWidth="1"/>
    <col min="4" max="4" width="29.5703125" style="57" customWidth="1"/>
    <col min="5" max="5" width="24.42578125" style="57" customWidth="1"/>
    <col min="6" max="6" width="1" style="57" customWidth="1"/>
    <col min="7" max="7" width="20.85546875" style="57" customWidth="1"/>
    <col min="8" max="8" width="1" style="57" customWidth="1"/>
    <col min="9" max="9" width="19.140625" style="57" customWidth="1"/>
    <col min="10" max="10" width="16.5703125" style="57" customWidth="1"/>
    <col min="11" max="11" width="15.42578125" style="57" customWidth="1"/>
    <col min="12" max="12" width="33.5703125" style="57" customWidth="1"/>
    <col min="13" max="14" width="13.42578125" style="57" customWidth="1"/>
    <col min="15" max="15" width="13.5703125" style="57" customWidth="1"/>
    <col min="16" max="16384" width="11.42578125" style="57"/>
  </cols>
  <sheetData>
    <row r="1" spans="1:15" ht="15.75">
      <c r="A1" s="693" t="s">
        <v>116</v>
      </c>
    </row>
    <row r="2" spans="1:15" ht="15.75">
      <c r="A2" s="693" t="s">
        <v>116</v>
      </c>
    </row>
    <row r="3" spans="1:15" ht="15">
      <c r="A3" s="1210" t="str">
        <f>+'WS B ADIT &amp; ITC'!A3:I3</f>
        <v>AEP East Companies</v>
      </c>
      <c r="B3" s="1210"/>
      <c r="C3" s="1210"/>
      <c r="D3" s="1210"/>
      <c r="E3" s="1210"/>
      <c r="F3" s="1210"/>
      <c r="G3" s="1210"/>
      <c r="H3" s="1210"/>
      <c r="I3" s="1210"/>
      <c r="J3" s="1210"/>
      <c r="K3" s="1210"/>
      <c r="L3" s="1210"/>
      <c r="M3" s="30"/>
      <c r="N3" s="30"/>
      <c r="O3" s="30"/>
    </row>
    <row r="4" spans="1:15" ht="15">
      <c r="A4" s="1211" t="str">
        <f>"Cost of Service Formula Rate Using Actual/Projected FF1 Balances"</f>
        <v>Cost of Service Formula Rate Using Actual/Projected FF1 Balances</v>
      </c>
      <c r="B4" s="1211"/>
      <c r="C4" s="1211"/>
      <c r="D4" s="1211"/>
      <c r="E4" s="1211"/>
      <c r="F4" s="1211"/>
      <c r="G4" s="1211"/>
      <c r="H4" s="1211"/>
      <c r="I4" s="1211"/>
      <c r="J4" s="1211"/>
      <c r="K4" s="1211"/>
      <c r="L4" s="1211"/>
      <c r="M4" s="78"/>
      <c r="N4" s="78"/>
      <c r="O4" s="78"/>
    </row>
    <row r="5" spans="1:15" ht="15">
      <c r="A5" s="1211" t="s">
        <v>497</v>
      </c>
      <c r="B5" s="1211"/>
      <c r="C5" s="1211"/>
      <c r="D5" s="1211"/>
      <c r="E5" s="1211"/>
      <c r="F5" s="1211"/>
      <c r="G5" s="1211"/>
      <c r="H5" s="1211"/>
      <c r="I5" s="1211"/>
      <c r="J5" s="1211"/>
      <c r="K5" s="1211"/>
      <c r="L5" s="1211"/>
      <c r="M5" s="77"/>
      <c r="N5" s="77"/>
      <c r="O5" s="77"/>
    </row>
    <row r="6" spans="1:15" ht="15">
      <c r="A6" s="1219" t="str">
        <f>TCOS!F9</f>
        <v>KENTUCKY POWER COMPANY</v>
      </c>
      <c r="B6" s="1219"/>
      <c r="C6" s="1219"/>
      <c r="D6" s="1219"/>
      <c r="E6" s="1219"/>
      <c r="F6" s="1219"/>
      <c r="G6" s="1219"/>
      <c r="H6" s="1219"/>
      <c r="I6" s="1219"/>
      <c r="J6" s="1219"/>
      <c r="K6" s="1219"/>
      <c r="L6" s="1219"/>
      <c r="M6" s="3"/>
      <c r="N6" s="3"/>
      <c r="O6" s="3"/>
    </row>
    <row r="7" spans="1:15" ht="15">
      <c r="A7" s="3"/>
      <c r="B7" s="3"/>
      <c r="C7" s="3"/>
      <c r="D7" s="3"/>
      <c r="E7" s="3"/>
      <c r="F7" s="3"/>
      <c r="G7" s="3"/>
      <c r="H7"/>
    </row>
    <row r="8" spans="1:15" ht="12.75" customHeight="1">
      <c r="A8" s="66"/>
      <c r="B8" s="66" t="s">
        <v>164</v>
      </c>
      <c r="C8" s="66" t="s">
        <v>165</v>
      </c>
      <c r="D8" s="66" t="s">
        <v>4</v>
      </c>
      <c r="E8" s="66" t="s">
        <v>167</v>
      </c>
      <c r="F8" s="66"/>
      <c r="G8" s="66" t="s">
        <v>85</v>
      </c>
      <c r="H8" s="66"/>
      <c r="I8" s="66" t="s">
        <v>86</v>
      </c>
      <c r="J8" s="66" t="s">
        <v>87</v>
      </c>
      <c r="K8" s="66" t="s">
        <v>92</v>
      </c>
      <c r="L8" s="66" t="s">
        <v>502</v>
      </c>
      <c r="M8" s="66"/>
      <c r="N8" s="66"/>
      <c r="O8" s="66"/>
    </row>
    <row r="9" spans="1:15">
      <c r="A9" s="56"/>
    </row>
    <row r="10" spans="1:15" ht="18">
      <c r="A10" s="60"/>
      <c r="B10" s="1236" t="s">
        <v>209</v>
      </c>
      <c r="C10" s="1236"/>
      <c r="D10" s="1236"/>
      <c r="E10" s="1236"/>
      <c r="F10" s="1236"/>
      <c r="G10" s="1236"/>
      <c r="H10" s="1236"/>
      <c r="I10" s="1236"/>
      <c r="J10" s="1236"/>
      <c r="K10" s="1236"/>
    </row>
    <row r="11" spans="1:15">
      <c r="A11" s="60"/>
      <c r="I11"/>
      <c r="J11"/>
    </row>
    <row r="12" spans="1:15" ht="12.75" customHeight="1">
      <c r="A12" s="9" t="s">
        <v>171</v>
      </c>
      <c r="B12" s="60"/>
      <c r="C12" s="65"/>
      <c r="D12" s="160"/>
      <c r="E12" s="1217" t="str">
        <f>"Balance @ December 31, "&amp;TCOS!L4&amp;""</f>
        <v>Balance @ December 31, 2025</v>
      </c>
      <c r="F12" s="160"/>
      <c r="G12" s="1217" t="str">
        <f>"Balance @ December 31, "&amp;TCOS!L4-1&amp;""</f>
        <v>Balance @ December 31, 2024</v>
      </c>
      <c r="H12" s="209"/>
      <c r="I12" s="1220" t="str">
        <f>"Average Balance for "&amp;TCOS!L4&amp;""</f>
        <v>Average Balance for 2025</v>
      </c>
      <c r="J12" s="4"/>
      <c r="L12" s="66"/>
    </row>
    <row r="13" spans="1:15">
      <c r="A13" s="9" t="s">
        <v>107</v>
      </c>
      <c r="B13" s="58"/>
      <c r="C13" s="60"/>
      <c r="D13" s="161" t="s">
        <v>208</v>
      </c>
      <c r="E13" s="1218"/>
      <c r="F13" s="162"/>
      <c r="G13" s="1218"/>
      <c r="H13" s="163"/>
      <c r="I13" s="1218"/>
      <c r="J13" s="4"/>
      <c r="K13" s="67"/>
      <c r="L13" s="68"/>
      <c r="M13" s="61"/>
      <c r="N13" s="61"/>
    </row>
    <row r="14" spans="1:15">
      <c r="B14" s="58"/>
      <c r="C14" s="60"/>
      <c r="D14" s="64"/>
      <c r="E14" s="59"/>
      <c r="F14" s="59"/>
      <c r="G14" s="184"/>
      <c r="H14" s="63"/>
      <c r="J14"/>
      <c r="K14" s="67"/>
      <c r="L14" s="68"/>
      <c r="M14" s="61"/>
      <c r="N14" s="61"/>
    </row>
    <row r="15" spans="1:15">
      <c r="A15" s="58">
        <v>1</v>
      </c>
      <c r="B15" s="58"/>
      <c r="D15" s="52"/>
      <c r="E15" s="17"/>
      <c r="F15" s="17"/>
      <c r="G15" s="17"/>
      <c r="H15" s="17"/>
      <c r="I15" s="17"/>
      <c r="K15" s="17"/>
      <c r="L15" s="17"/>
      <c r="M15" s="61"/>
      <c r="N15" s="61"/>
    </row>
    <row r="16" spans="1:15">
      <c r="B16" s="58"/>
      <c r="C16" s="52"/>
      <c r="D16" s="52"/>
      <c r="E16" s="17"/>
      <c r="F16" s="17"/>
      <c r="G16" s="17"/>
      <c r="H16" s="17"/>
      <c r="I16" s="17"/>
      <c r="K16" s="17"/>
      <c r="L16" s="17"/>
      <c r="M16" s="61"/>
      <c r="N16" s="61"/>
    </row>
    <row r="17" spans="1:14">
      <c r="A17" s="58">
        <f>+A15+1</f>
        <v>2</v>
      </c>
      <c r="B17" s="58"/>
      <c r="C17" s="52" t="s">
        <v>528</v>
      </c>
      <c r="D17" s="62" t="s">
        <v>437</v>
      </c>
      <c r="E17" s="648">
        <v>36281</v>
      </c>
      <c r="F17" s="17"/>
      <c r="G17" s="648">
        <v>10431</v>
      </c>
      <c r="H17" s="17"/>
      <c r="I17" s="111">
        <f>IF(G17="",0,(E17+G17)/2)</f>
        <v>23356</v>
      </c>
      <c r="J17"/>
      <c r="K17" s="111"/>
      <c r="L17" s="17"/>
      <c r="M17" s="61"/>
      <c r="N17" s="61"/>
    </row>
    <row r="18" spans="1:14">
      <c r="B18" s="58"/>
      <c r="C18" s="52"/>
      <c r="D18"/>
      <c r="E18"/>
      <c r="F18"/>
      <c r="G18"/>
      <c r="H18"/>
      <c r="I18" s="4"/>
      <c r="J18"/>
      <c r="K18"/>
      <c r="L18" s="17"/>
      <c r="M18" s="61"/>
      <c r="N18" s="61"/>
    </row>
    <row r="19" spans="1:14">
      <c r="A19" s="1138" t="s">
        <v>1009</v>
      </c>
      <c r="B19" s="1138"/>
      <c r="C19" s="1139" t="s">
        <v>1317</v>
      </c>
      <c r="D19" s="1140" t="s">
        <v>1318</v>
      </c>
      <c r="E19" s="1141"/>
      <c r="F19" s="117"/>
      <c r="G19" s="1141"/>
      <c r="H19" s="208"/>
      <c r="I19" s="1142">
        <f>IF(G19="",0,(E19+G19)/2)</f>
        <v>0</v>
      </c>
      <c r="J19"/>
      <c r="K19"/>
      <c r="L19" s="17"/>
      <c r="M19" s="61"/>
      <c r="N19" s="61"/>
    </row>
    <row r="20" spans="1:14">
      <c r="B20" s="58"/>
      <c r="C20" s="52"/>
      <c r="D20"/>
      <c r="E20"/>
      <c r="F20"/>
      <c r="G20"/>
      <c r="H20"/>
      <c r="I20" s="4"/>
      <c r="J20"/>
      <c r="K20"/>
      <c r="L20" s="17"/>
      <c r="M20" s="61"/>
      <c r="N20" s="61"/>
    </row>
    <row r="21" spans="1:14">
      <c r="A21" s="58">
        <f>+A17+1</f>
        <v>3</v>
      </c>
      <c r="B21" s="58"/>
      <c r="C21" s="52" t="s">
        <v>530</v>
      </c>
      <c r="D21" s="62" t="s">
        <v>438</v>
      </c>
      <c r="E21" s="648">
        <v>21518</v>
      </c>
      <c r="F21" s="17"/>
      <c r="G21" s="648">
        <v>86528</v>
      </c>
      <c r="H21" s="63"/>
      <c r="I21" s="111">
        <f>IF(G21="",0,(E21+G21)/2)</f>
        <v>54023</v>
      </c>
      <c r="J21"/>
      <c r="K21" s="67"/>
      <c r="L21" s="68"/>
      <c r="M21" s="61"/>
      <c r="N21" s="61"/>
    </row>
    <row r="22" spans="1:14">
      <c r="B22" s="58"/>
      <c r="C22" s="52"/>
      <c r="D22" s="62"/>
      <c r="E22"/>
      <c r="F22"/>
      <c r="G22"/>
      <c r="H22"/>
      <c r="I22"/>
      <c r="J22"/>
      <c r="K22" s="67"/>
      <c r="L22" s="68"/>
      <c r="M22" s="61"/>
      <c r="N22" s="61"/>
    </row>
    <row r="23" spans="1:14">
      <c r="A23" s="58">
        <f>+A21+1</f>
        <v>4</v>
      </c>
      <c r="B23" s="58"/>
      <c r="C23" s="52" t="s">
        <v>761</v>
      </c>
      <c r="D23" s="62" t="s">
        <v>439</v>
      </c>
      <c r="E23" s="648">
        <v>0</v>
      </c>
      <c r="F23" s="17"/>
      <c r="G23" s="648">
        <v>0</v>
      </c>
      <c r="H23" s="63"/>
      <c r="I23" s="111">
        <f>IF(G23="",0,(E23+G23)/2)</f>
        <v>0</v>
      </c>
      <c r="J23"/>
      <c r="K23" s="67"/>
      <c r="L23" s="68"/>
      <c r="M23" s="61"/>
      <c r="N23" s="61"/>
    </row>
    <row r="24" spans="1:14">
      <c r="B24" s="58"/>
      <c r="C24" s="60"/>
      <c r="D24" s="64"/>
      <c r="E24" s="59"/>
      <c r="F24" s="59"/>
      <c r="H24" s="63"/>
      <c r="J24"/>
      <c r="K24" s="67"/>
      <c r="L24" s="68"/>
      <c r="M24" s="61"/>
      <c r="N24" s="61"/>
    </row>
    <row r="25" spans="1:14">
      <c r="A25" s="151"/>
      <c r="B25" s="151"/>
      <c r="C25" s="152"/>
      <c r="D25" s="153"/>
      <c r="E25" s="154"/>
      <c r="F25" s="154"/>
      <c r="G25" s="155"/>
      <c r="H25" s="156"/>
      <c r="I25" s="155"/>
      <c r="J25" s="157"/>
      <c r="K25" s="158"/>
      <c r="L25" s="159"/>
      <c r="M25" s="61"/>
      <c r="N25" s="61"/>
    </row>
    <row r="26" spans="1:14" ht="18">
      <c r="B26" s="1236" t="s">
        <v>760</v>
      </c>
      <c r="C26" s="1236"/>
      <c r="D26" s="1236"/>
      <c r="E26" s="1236"/>
      <c r="F26" s="1236"/>
      <c r="G26" s="1236"/>
      <c r="H26" s="1236"/>
      <c r="I26" s="1236"/>
      <c r="J26" s="1236"/>
      <c r="K26" s="1236"/>
      <c r="L26" s="68"/>
      <c r="M26" s="61"/>
      <c r="N26" s="61"/>
    </row>
    <row r="27" spans="1:14" ht="12.75" customHeight="1">
      <c r="B27" s="120"/>
      <c r="C27" s="60"/>
      <c r="D27" s="17"/>
      <c r="E27" s="7"/>
      <c r="G27" s="7" t="s">
        <v>88</v>
      </c>
      <c r="I27" s="5" t="s">
        <v>117</v>
      </c>
      <c r="J27" s="5" t="s">
        <v>117</v>
      </c>
      <c r="K27" s="5" t="s">
        <v>181</v>
      </c>
      <c r="L27" s="68"/>
      <c r="M27" s="61"/>
      <c r="N27" s="61"/>
    </row>
    <row r="28" spans="1:14" ht="12.75" customHeight="1">
      <c r="B28" s="120"/>
      <c r="C28" s="60"/>
      <c r="D28" s="119" t="s">
        <v>503</v>
      </c>
      <c r="E28" s="5" t="s">
        <v>532</v>
      </c>
      <c r="G28" s="5" t="s">
        <v>117</v>
      </c>
      <c r="I28" s="5" t="s">
        <v>525</v>
      </c>
      <c r="J28" s="5" t="s">
        <v>163</v>
      </c>
      <c r="K28" s="5" t="s">
        <v>182</v>
      </c>
      <c r="L28" s="68"/>
      <c r="M28" s="61"/>
      <c r="N28" s="61"/>
    </row>
    <row r="29" spans="1:14" ht="12.75" customHeight="1">
      <c r="A29" s="58">
        <f>+A23+1</f>
        <v>5</v>
      </c>
      <c r="B29" s="120"/>
      <c r="C29" s="60"/>
      <c r="D29" s="9" t="s">
        <v>89</v>
      </c>
      <c r="E29" s="9" t="s">
        <v>504</v>
      </c>
      <c r="G29" s="9" t="s">
        <v>526</v>
      </c>
      <c r="I29" s="9" t="s">
        <v>526</v>
      </c>
      <c r="J29" s="9" t="s">
        <v>526</v>
      </c>
      <c r="K29" s="9" t="s">
        <v>527</v>
      </c>
      <c r="L29" s="68"/>
      <c r="M29" s="61"/>
      <c r="N29" s="61"/>
    </row>
    <row r="30" spans="1:14">
      <c r="B30" s="58"/>
      <c r="C30" s="60"/>
      <c r="D30" s="64"/>
      <c r="E30" s="59"/>
      <c r="F30" s="59"/>
      <c r="H30" s="63"/>
      <c r="J30"/>
      <c r="K30" s="185"/>
      <c r="L30" s="68"/>
      <c r="M30" s="61"/>
      <c r="N30" s="61"/>
    </row>
    <row r="31" spans="1:14">
      <c r="A31" s="58">
        <f>+A29+1</f>
        <v>6</v>
      </c>
      <c r="B31" s="58"/>
      <c r="C31" s="57" t="str">
        <f>"Totals as of December 31, "&amp;TCOS!L4&amp;""</f>
        <v>Totals as of December 31, 2025</v>
      </c>
      <c r="D31" s="121">
        <f>ROUND(D62,0)</f>
        <v>2338044</v>
      </c>
      <c r="E31" s="192">
        <f>ROUND(E62,0)</f>
        <v>-51097794</v>
      </c>
      <c r="F31" s="122"/>
      <c r="G31" s="121">
        <f>ROUND(G62,0)</f>
        <v>0</v>
      </c>
      <c r="H31" s="63"/>
      <c r="I31" s="121">
        <f>ROUND(I62,0)</f>
        <v>1213021</v>
      </c>
      <c r="J31" s="123">
        <f>+J62</f>
        <v>52222816.510000005</v>
      </c>
      <c r="K31" s="121">
        <f>ROUND(K62,0)</f>
        <v>53435837</v>
      </c>
      <c r="L31" s="68"/>
      <c r="M31" s="61"/>
      <c r="N31" s="61"/>
    </row>
    <row r="32" spans="1:14">
      <c r="A32" s="58">
        <f>+A31+1</f>
        <v>7</v>
      </c>
      <c r="B32" s="58"/>
      <c r="C32" s="57" t="str">
        <f>"Totals as of December 31, "&amp;TCOS!L4-1&amp;""</f>
        <v>Totals as of December 31, 2024</v>
      </c>
      <c r="D32" s="126">
        <f>IF(D91="","",D91)</f>
        <v>2241790.3329999992</v>
      </c>
      <c r="E32" s="193">
        <f>IF(E91="","",E91)</f>
        <v>-46178196.649999999</v>
      </c>
      <c r="F32" s="59"/>
      <c r="G32" s="126" t="str">
        <f>IF(G91="","",G91)</f>
        <v/>
      </c>
      <c r="H32" s="63"/>
      <c r="I32" s="126">
        <f>IF(I91="","",I91)</f>
        <v>1147985.443</v>
      </c>
      <c r="J32" s="126">
        <f>IF(J91="","",J91)</f>
        <v>47272001.539999999</v>
      </c>
      <c r="K32" s="126">
        <f>IF(K91="","",K91)</f>
        <v>48419986.983000003</v>
      </c>
      <c r="L32" s="68"/>
      <c r="M32" s="61"/>
      <c r="N32" s="61"/>
    </row>
    <row r="33" spans="1:14" ht="13.5" thickBot="1">
      <c r="A33" s="58">
        <f>+A32+1</f>
        <v>8</v>
      </c>
      <c r="B33" s="58"/>
      <c r="C33" s="65" t="s">
        <v>215</v>
      </c>
      <c r="D33" s="127">
        <f>IF(D32="",0,(D31+D32)/2)</f>
        <v>2289917.1664999994</v>
      </c>
      <c r="E33" s="127">
        <f>IF(E32="",0,(E31+E32)/2)</f>
        <v>-48637995.325000003</v>
      </c>
      <c r="F33" s="128"/>
      <c r="G33" s="127">
        <f>IF(G32="",0,(G31+G32)/2)</f>
        <v>0</v>
      </c>
      <c r="H33" s="75"/>
      <c r="I33" s="127">
        <f>IF(I32="",0,(I31+I32)/2)</f>
        <v>1180503.2215</v>
      </c>
      <c r="J33" s="127">
        <f>IF(J32="",0,(J31+J32)/2)</f>
        <v>49747409.025000006</v>
      </c>
      <c r="K33" s="127">
        <f>IF(K32="",0,(K31+K32)/2)</f>
        <v>50927911.991500005</v>
      </c>
      <c r="L33" s="68"/>
      <c r="M33" s="61"/>
      <c r="N33" s="61"/>
    </row>
    <row r="34" spans="1:14" ht="13.5" thickTop="1">
      <c r="B34" s="58"/>
      <c r="D34" s="64"/>
      <c r="E34" s="59"/>
      <c r="F34" s="59"/>
      <c r="H34" s="63"/>
      <c r="J34"/>
      <c r="K34" s="67"/>
      <c r="L34" s="68"/>
      <c r="M34" s="61"/>
      <c r="N34" s="61"/>
    </row>
    <row r="35" spans="1:14">
      <c r="A35" s="57"/>
      <c r="J35"/>
      <c r="K35" s="67"/>
      <c r="L35" s="68"/>
      <c r="M35" s="61"/>
      <c r="N35" s="61"/>
    </row>
    <row r="36" spans="1:14" ht="18">
      <c r="B36" s="1237" t="str">
        <f>"Prepayments Account 165 - Balance @ 12/31/"&amp;D38&amp;""</f>
        <v>Prepayments Account 165 - Balance @ 12/31/2025</v>
      </c>
      <c r="C36" s="1238"/>
      <c r="D36" s="1238"/>
      <c r="E36" s="1238"/>
      <c r="F36" s="1238"/>
      <c r="G36" s="1238"/>
      <c r="H36" s="1238"/>
      <c r="I36" s="1238"/>
      <c r="J36" s="1238"/>
      <c r="K36" s="67"/>
      <c r="L36" s="68"/>
      <c r="M36" s="61"/>
      <c r="N36" s="61"/>
    </row>
    <row r="37" spans="1:14">
      <c r="B37" s="115"/>
      <c r="C37" s="117"/>
      <c r="D37" s="17"/>
      <c r="E37" s="7"/>
      <c r="G37" s="7" t="s">
        <v>88</v>
      </c>
      <c r="I37" s="5" t="s">
        <v>117</v>
      </c>
      <c r="J37" s="5" t="s">
        <v>117</v>
      </c>
      <c r="K37" s="5" t="s">
        <v>181</v>
      </c>
      <c r="L37"/>
      <c r="M37" s="61"/>
      <c r="N37" s="61"/>
    </row>
    <row r="38" spans="1:14">
      <c r="B38" s="115"/>
      <c r="C38" s="118"/>
      <c r="D38" s="119" t="str">
        <f>""&amp;TCOS!L4</f>
        <v>2025</v>
      </c>
      <c r="E38" s="5" t="s">
        <v>532</v>
      </c>
      <c r="G38" s="5" t="s">
        <v>117</v>
      </c>
      <c r="I38" s="5" t="s">
        <v>525</v>
      </c>
      <c r="J38" s="5" t="s">
        <v>163</v>
      </c>
      <c r="K38" s="5" t="s">
        <v>182</v>
      </c>
      <c r="L38"/>
      <c r="M38" s="61"/>
      <c r="N38" s="61"/>
    </row>
    <row r="39" spans="1:14">
      <c r="A39" s="58">
        <f>+A33+1</f>
        <v>9</v>
      </c>
      <c r="B39" s="9" t="s">
        <v>91</v>
      </c>
      <c r="C39" s="9" t="s">
        <v>169</v>
      </c>
      <c r="D39" s="9" t="s">
        <v>89</v>
      </c>
      <c r="E39" s="9" t="s">
        <v>504</v>
      </c>
      <c r="G39" s="9" t="s">
        <v>526</v>
      </c>
      <c r="I39" s="9" t="s">
        <v>526</v>
      </c>
      <c r="J39" s="9" t="s">
        <v>526</v>
      </c>
      <c r="K39" s="9" t="s">
        <v>527</v>
      </c>
      <c r="L39" s="9" t="s">
        <v>40</v>
      </c>
      <c r="M39" s="61"/>
      <c r="N39" s="61"/>
    </row>
    <row r="40" spans="1:14">
      <c r="B40" s="115"/>
      <c r="C40" s="117"/>
      <c r="D40" s="117"/>
      <c r="E40" s="117"/>
      <c r="G40" s="117"/>
      <c r="I40" s="117"/>
      <c r="J40" s="117"/>
      <c r="K40" s="185"/>
      <c r="L40"/>
      <c r="M40" s="61"/>
      <c r="N40" s="61"/>
    </row>
    <row r="41" spans="1:14" ht="14.25">
      <c r="A41" s="58">
        <f>+A39+1</f>
        <v>10</v>
      </c>
      <c r="B41" s="951" t="s">
        <v>869</v>
      </c>
      <c r="C41" s="651" t="s">
        <v>870</v>
      </c>
      <c r="D41" s="652">
        <v>630570.99</v>
      </c>
      <c r="E41" s="944">
        <f>+D41-K41</f>
        <v>0</v>
      </c>
      <c r="F41" s="945"/>
      <c r="G41" s="946"/>
      <c r="H41" s="945"/>
      <c r="I41" s="946">
        <f>D41</f>
        <v>630570.99</v>
      </c>
      <c r="J41" s="946"/>
      <c r="K41" s="962">
        <f t="shared" ref="K41:K58" si="0">+G41+I41+J41</f>
        <v>630570.99</v>
      </c>
      <c r="L41" t="s">
        <v>533</v>
      </c>
      <c r="M41" s="61"/>
      <c r="N41" s="61"/>
    </row>
    <row r="42" spans="1:14" ht="14.25">
      <c r="A42" s="58">
        <f t="shared" ref="A42:A54" si="1">+A41+1</f>
        <v>11</v>
      </c>
      <c r="B42" s="952" t="s">
        <v>951</v>
      </c>
      <c r="C42" s="651" t="s">
        <v>871</v>
      </c>
      <c r="D42" s="652">
        <v>0</v>
      </c>
      <c r="E42" s="944">
        <f t="shared" ref="E42:E59" si="2">+D42-K42</f>
        <v>0</v>
      </c>
      <c r="F42" s="945"/>
      <c r="G42" s="946"/>
      <c r="H42" s="945"/>
      <c r="I42" s="946"/>
      <c r="J42" s="946"/>
      <c r="K42" s="962">
        <f t="shared" si="0"/>
        <v>0</v>
      </c>
      <c r="L42"/>
      <c r="M42" s="61"/>
      <c r="N42" s="61"/>
    </row>
    <row r="43" spans="1:14" ht="14.25">
      <c r="A43" s="58">
        <f t="shared" si="1"/>
        <v>12</v>
      </c>
      <c r="B43" s="952" t="s">
        <v>1040</v>
      </c>
      <c r="C43" s="651" t="s">
        <v>871</v>
      </c>
      <c r="D43" s="652">
        <v>0</v>
      </c>
      <c r="E43" s="944">
        <f t="shared" si="2"/>
        <v>0</v>
      </c>
      <c r="F43" s="945"/>
      <c r="G43" s="946"/>
      <c r="H43" s="945"/>
      <c r="I43" s="946"/>
      <c r="J43" s="946"/>
      <c r="K43" s="962">
        <f t="shared" si="0"/>
        <v>0</v>
      </c>
      <c r="L43"/>
      <c r="M43" s="61"/>
      <c r="N43" s="61"/>
    </row>
    <row r="44" spans="1:14" ht="14.25">
      <c r="A44" s="58">
        <f t="shared" si="1"/>
        <v>13</v>
      </c>
      <c r="B44" s="953" t="s">
        <v>1362</v>
      </c>
      <c r="C44" s="651" t="s">
        <v>871</v>
      </c>
      <c r="D44" s="652">
        <v>0</v>
      </c>
      <c r="E44" s="944">
        <f t="shared" si="2"/>
        <v>0</v>
      </c>
      <c r="F44" s="945"/>
      <c r="G44" s="946"/>
      <c r="H44" s="945"/>
      <c r="I44" s="946"/>
      <c r="J44" s="946"/>
      <c r="K44" s="962">
        <f t="shared" si="0"/>
        <v>0</v>
      </c>
      <c r="L44" t="s">
        <v>922</v>
      </c>
      <c r="M44" s="61"/>
      <c r="N44" s="61"/>
    </row>
    <row r="45" spans="1:14" ht="14.25">
      <c r="A45" s="58">
        <f t="shared" si="1"/>
        <v>14</v>
      </c>
      <c r="B45" s="951" t="s">
        <v>1061</v>
      </c>
      <c r="C45" s="651" t="s">
        <v>891</v>
      </c>
      <c r="D45" s="652">
        <v>-0.01</v>
      </c>
      <c r="E45" s="944">
        <f t="shared" si="2"/>
        <v>-0.01</v>
      </c>
      <c r="F45" s="945"/>
      <c r="G45" s="946"/>
      <c r="H45" s="945"/>
      <c r="I45" s="946"/>
      <c r="J45" s="946"/>
      <c r="K45" s="962">
        <f t="shared" si="0"/>
        <v>0</v>
      </c>
      <c r="L45" t="s">
        <v>596</v>
      </c>
      <c r="M45" s="61"/>
      <c r="N45" s="61"/>
    </row>
    <row r="46" spans="1:14" ht="14.25">
      <c r="A46" s="58">
        <f t="shared" si="1"/>
        <v>15</v>
      </c>
      <c r="B46" s="951" t="s">
        <v>892</v>
      </c>
      <c r="C46" s="651" t="s">
        <v>893</v>
      </c>
      <c r="D46" s="652">
        <v>150868.47</v>
      </c>
      <c r="E46" s="944">
        <f t="shared" si="2"/>
        <v>150868.47</v>
      </c>
      <c r="F46" s="945"/>
      <c r="G46" s="946"/>
      <c r="H46" s="945"/>
      <c r="I46" s="946"/>
      <c r="J46" s="946"/>
      <c r="K46" s="962">
        <f t="shared" si="0"/>
        <v>0</v>
      </c>
      <c r="L46" t="s">
        <v>927</v>
      </c>
      <c r="M46" s="61"/>
      <c r="N46" s="61"/>
    </row>
    <row r="47" spans="1:14" ht="14.25">
      <c r="A47" s="58">
        <f t="shared" si="1"/>
        <v>16</v>
      </c>
      <c r="B47" s="951" t="s">
        <v>872</v>
      </c>
      <c r="C47" s="651" t="s">
        <v>873</v>
      </c>
      <c r="D47" s="652">
        <v>16463577.23</v>
      </c>
      <c r="E47" s="944">
        <f t="shared" si="2"/>
        <v>0</v>
      </c>
      <c r="F47" s="945"/>
      <c r="G47" s="946"/>
      <c r="H47" s="945"/>
      <c r="I47" s="946"/>
      <c r="J47" s="946">
        <f>D47</f>
        <v>16463577.23</v>
      </c>
      <c r="K47" s="962">
        <f t="shared" ref="K47" si="3">+G47+I47+J47</f>
        <v>16463577.23</v>
      </c>
      <c r="L47" s="208" t="s">
        <v>926</v>
      </c>
      <c r="M47" s="61"/>
      <c r="N47" s="61"/>
    </row>
    <row r="48" spans="1:14" ht="14.25">
      <c r="A48" s="58">
        <f t="shared" si="1"/>
        <v>17</v>
      </c>
      <c r="B48" s="951" t="s">
        <v>953</v>
      </c>
      <c r="C48" s="651" t="s">
        <v>895</v>
      </c>
      <c r="D48" s="652">
        <v>0</v>
      </c>
      <c r="E48" s="944">
        <f t="shared" si="2"/>
        <v>0</v>
      </c>
      <c r="F48" s="945"/>
      <c r="G48" s="946"/>
      <c r="H48" s="945"/>
      <c r="I48" s="946"/>
      <c r="J48" s="946"/>
      <c r="K48" s="962">
        <f t="shared" si="0"/>
        <v>0</v>
      </c>
      <c r="L48" s="208" t="s">
        <v>116</v>
      </c>
      <c r="M48" s="61"/>
      <c r="N48" s="61"/>
    </row>
    <row r="49" spans="1:15" ht="14.25">
      <c r="A49" s="58">
        <f t="shared" si="1"/>
        <v>18</v>
      </c>
      <c r="B49" s="953" t="s">
        <v>1062</v>
      </c>
      <c r="C49" s="651" t="s">
        <v>895</v>
      </c>
      <c r="D49" s="652">
        <v>0</v>
      </c>
      <c r="E49" s="944">
        <f t="shared" si="2"/>
        <v>0</v>
      </c>
      <c r="F49" s="945"/>
      <c r="G49" s="946"/>
      <c r="H49" s="945"/>
      <c r="I49" s="946"/>
      <c r="J49" s="946"/>
      <c r="K49" s="962">
        <f t="shared" si="0"/>
        <v>0</v>
      </c>
      <c r="L49"/>
      <c r="M49" s="61"/>
      <c r="N49" s="61"/>
    </row>
    <row r="50" spans="1:15" ht="14.25">
      <c r="A50" s="58">
        <f t="shared" si="1"/>
        <v>19</v>
      </c>
      <c r="B50" s="955" t="s">
        <v>1361</v>
      </c>
      <c r="C50" s="651" t="s">
        <v>895</v>
      </c>
      <c r="D50" s="652">
        <v>350643</v>
      </c>
      <c r="E50" s="944">
        <f t="shared" si="2"/>
        <v>350643</v>
      </c>
      <c r="F50" s="945"/>
      <c r="G50" s="946"/>
      <c r="H50" s="945"/>
      <c r="I50" s="946"/>
      <c r="J50" s="946"/>
      <c r="K50" s="962">
        <f t="shared" si="0"/>
        <v>0</v>
      </c>
      <c r="L50" t="s">
        <v>597</v>
      </c>
      <c r="M50" s="61"/>
      <c r="N50" s="61"/>
    </row>
    <row r="51" spans="1:15" ht="14.25">
      <c r="A51" s="58">
        <f t="shared" si="1"/>
        <v>20</v>
      </c>
      <c r="B51" s="953" t="s">
        <v>952</v>
      </c>
      <c r="C51" s="651" t="s">
        <v>894</v>
      </c>
      <c r="D51" s="652">
        <v>0</v>
      </c>
      <c r="E51" s="944">
        <f t="shared" si="2"/>
        <v>0</v>
      </c>
      <c r="F51" s="945"/>
      <c r="G51" s="946"/>
      <c r="H51" s="945"/>
      <c r="I51" s="946"/>
      <c r="J51" s="946"/>
      <c r="K51" s="962">
        <f t="shared" si="0"/>
        <v>0</v>
      </c>
      <c r="L51"/>
      <c r="M51" s="61"/>
      <c r="N51" s="61"/>
    </row>
    <row r="52" spans="1:15" ht="14.25">
      <c r="A52" s="58">
        <f t="shared" si="1"/>
        <v>21</v>
      </c>
      <c r="B52" s="954" t="s">
        <v>1041</v>
      </c>
      <c r="C52" s="651" t="s">
        <v>894</v>
      </c>
      <c r="D52" s="652">
        <v>0</v>
      </c>
      <c r="E52" s="944">
        <f t="shared" si="2"/>
        <v>0</v>
      </c>
      <c r="F52" s="945"/>
      <c r="G52" s="946"/>
      <c r="H52" s="945"/>
      <c r="I52" s="946"/>
      <c r="J52" s="946"/>
      <c r="K52" s="962">
        <f t="shared" si="0"/>
        <v>0</v>
      </c>
      <c r="L52"/>
      <c r="M52" s="61"/>
      <c r="N52" s="61"/>
    </row>
    <row r="53" spans="1:15" ht="14.25">
      <c r="A53" s="58">
        <f t="shared" si="1"/>
        <v>22</v>
      </c>
      <c r="B53" s="952">
        <v>165001225</v>
      </c>
      <c r="C53" s="651" t="s">
        <v>894</v>
      </c>
      <c r="D53" s="652">
        <v>64027</v>
      </c>
      <c r="E53" s="944">
        <f t="shared" si="2"/>
        <v>64027</v>
      </c>
      <c r="F53" s="945"/>
      <c r="G53" s="946"/>
      <c r="H53" s="945"/>
      <c r="I53" s="946"/>
      <c r="J53" s="946"/>
      <c r="K53" s="962">
        <f t="shared" si="0"/>
        <v>0</v>
      </c>
      <c r="L53" t="s">
        <v>924</v>
      </c>
      <c r="M53" s="61"/>
      <c r="N53" s="61"/>
    </row>
    <row r="54" spans="1:15" ht="14.25">
      <c r="A54" s="58">
        <f t="shared" si="1"/>
        <v>23</v>
      </c>
      <c r="B54" s="952" t="s">
        <v>874</v>
      </c>
      <c r="C54" s="651" t="s">
        <v>875</v>
      </c>
      <c r="D54" s="652">
        <v>-16463577.23</v>
      </c>
      <c r="E54" s="944">
        <f t="shared" si="2"/>
        <v>-16463577.23</v>
      </c>
      <c r="F54" s="945"/>
      <c r="G54" s="946"/>
      <c r="H54" s="945"/>
      <c r="I54" s="946"/>
      <c r="J54" s="946"/>
      <c r="K54" s="962">
        <f t="shared" si="0"/>
        <v>0</v>
      </c>
      <c r="L54" t="s">
        <v>925</v>
      </c>
      <c r="M54" s="61"/>
      <c r="N54" s="61"/>
    </row>
    <row r="55" spans="1:15" ht="14.25">
      <c r="A55" s="58">
        <f t="shared" ref="A55:A61" si="4">A54+1</f>
        <v>24</v>
      </c>
      <c r="B55" s="952" t="s">
        <v>876</v>
      </c>
      <c r="C55" s="651" t="s">
        <v>877</v>
      </c>
      <c r="D55" s="652">
        <v>582449.973</v>
      </c>
      <c r="E55" s="944">
        <f t="shared" si="2"/>
        <v>0</v>
      </c>
      <c r="F55" s="945"/>
      <c r="G55" s="946"/>
      <c r="H55" s="945"/>
      <c r="I55" s="946">
        <f>D55</f>
        <v>582449.973</v>
      </c>
      <c r="J55" s="946"/>
      <c r="K55" s="962">
        <f t="shared" si="0"/>
        <v>582449.973</v>
      </c>
      <c r="L55" t="s">
        <v>533</v>
      </c>
      <c r="M55" s="61"/>
      <c r="N55" s="61"/>
    </row>
    <row r="56" spans="1:15" ht="14.25">
      <c r="A56" s="58">
        <f t="shared" si="4"/>
        <v>25</v>
      </c>
      <c r="B56" s="952" t="s">
        <v>896</v>
      </c>
      <c r="C56" s="651" t="s">
        <v>897</v>
      </c>
      <c r="D56" s="652">
        <v>25814.720000000001</v>
      </c>
      <c r="E56" s="944">
        <f t="shared" si="2"/>
        <v>25814.720000000001</v>
      </c>
      <c r="F56" s="945"/>
      <c r="G56" s="946"/>
      <c r="H56" s="945"/>
      <c r="I56" s="946"/>
      <c r="J56" s="946"/>
      <c r="K56" s="962">
        <f t="shared" si="0"/>
        <v>0</v>
      </c>
      <c r="L56" t="s">
        <v>923</v>
      </c>
      <c r="M56" s="61"/>
      <c r="N56" s="61"/>
    </row>
    <row r="57" spans="1:15" ht="14.25">
      <c r="A57" s="58">
        <f t="shared" si="4"/>
        <v>26</v>
      </c>
      <c r="B57" s="952" t="s">
        <v>1063</v>
      </c>
      <c r="C57" s="651" t="s">
        <v>1064</v>
      </c>
      <c r="D57" s="652">
        <v>0</v>
      </c>
      <c r="E57" s="944">
        <f t="shared" si="2"/>
        <v>0</v>
      </c>
      <c r="F57" s="945"/>
      <c r="G57" s="946"/>
      <c r="H57" s="945"/>
      <c r="I57" s="946"/>
      <c r="J57" s="946"/>
      <c r="K57" s="962">
        <f t="shared" si="0"/>
        <v>0</v>
      </c>
      <c r="L57"/>
      <c r="M57" s="61"/>
      <c r="N57" s="61"/>
    </row>
    <row r="58" spans="1:15" ht="14.25">
      <c r="A58" s="58">
        <f t="shared" si="4"/>
        <v>27</v>
      </c>
      <c r="B58" s="653" t="s">
        <v>1065</v>
      </c>
      <c r="C58" s="651" t="s">
        <v>1066</v>
      </c>
      <c r="D58" s="652">
        <v>35759239.280000001</v>
      </c>
      <c r="E58" s="944">
        <f t="shared" si="2"/>
        <v>0</v>
      </c>
      <c r="F58" s="945"/>
      <c r="G58" s="946"/>
      <c r="H58" s="945"/>
      <c r="I58" s="946"/>
      <c r="J58" s="946">
        <f>D58</f>
        <v>35759239.280000001</v>
      </c>
      <c r="K58" s="962">
        <f t="shared" si="0"/>
        <v>35759239.280000001</v>
      </c>
      <c r="L58" t="s">
        <v>598</v>
      </c>
      <c r="M58" s="61"/>
      <c r="N58" s="61"/>
    </row>
    <row r="59" spans="1:15" ht="14.25">
      <c r="A59" s="58">
        <f t="shared" si="4"/>
        <v>28</v>
      </c>
      <c r="B59" s="952" t="s">
        <v>1067</v>
      </c>
      <c r="C59" s="651" t="s">
        <v>1068</v>
      </c>
      <c r="D59" s="652">
        <v>-35759239.280000001</v>
      </c>
      <c r="E59" s="944">
        <f t="shared" si="2"/>
        <v>-35759239.280000001</v>
      </c>
      <c r="F59" s="945"/>
      <c r="G59" s="946"/>
      <c r="H59" s="945"/>
      <c r="I59" s="946"/>
      <c r="J59" s="946"/>
      <c r="K59" s="946"/>
      <c r="L59" t="s">
        <v>31</v>
      </c>
      <c r="M59" s="61"/>
      <c r="N59" s="61"/>
    </row>
    <row r="60" spans="1:15" ht="14.25">
      <c r="A60" s="58">
        <f t="shared" si="4"/>
        <v>29</v>
      </c>
      <c r="B60" s="653" t="s">
        <v>1151</v>
      </c>
      <c r="C60" s="651" t="s">
        <v>1152</v>
      </c>
      <c r="D60" s="652">
        <v>533669.62</v>
      </c>
      <c r="E60" s="944">
        <f t="shared" ref="E60" si="5">+D60-K60</f>
        <v>533669.62</v>
      </c>
      <c r="F60" s="945"/>
      <c r="G60" s="946"/>
      <c r="H60" s="945"/>
      <c r="I60" s="946"/>
      <c r="J60" s="946"/>
      <c r="K60" s="962">
        <f t="shared" ref="K60" si="6">+G60+I60+J60</f>
        <v>0</v>
      </c>
      <c r="L60"/>
      <c r="M60" s="61"/>
      <c r="N60" s="61"/>
    </row>
    <row r="61" spans="1:15" ht="15" thickBot="1">
      <c r="A61" s="58">
        <f t="shared" si="4"/>
        <v>30</v>
      </c>
      <c r="B61" s="653"/>
      <c r="C61" s="651"/>
      <c r="D61" s="652"/>
      <c r="E61" s="946"/>
      <c r="F61" s="945"/>
      <c r="G61" s="946"/>
      <c r="H61" s="945"/>
      <c r="I61" s="946"/>
      <c r="J61" s="946"/>
      <c r="K61" s="946"/>
      <c r="L61"/>
      <c r="M61" s="61"/>
      <c r="N61" s="61"/>
    </row>
    <row r="62" spans="1:15" ht="14.25">
      <c r="B62" s="115"/>
      <c r="C62" s="25" t="s">
        <v>505</v>
      </c>
      <c r="D62" s="654">
        <f>SUM(D41:D61)</f>
        <v>2338043.7629999993</v>
      </c>
      <c r="E62" s="947">
        <f>SUM(E41:E61)</f>
        <v>-51097793.710000001</v>
      </c>
      <c r="F62" s="945"/>
      <c r="G62" s="654">
        <f>SUM(G41:G61)</f>
        <v>0</v>
      </c>
      <c r="H62" s="945"/>
      <c r="I62" s="654">
        <f>SUM(I41:I61)</f>
        <v>1213020.963</v>
      </c>
      <c r="J62" s="654">
        <f>SUM(J41:J61)</f>
        <v>52222816.510000005</v>
      </c>
      <c r="K62" s="654">
        <f>SUM(K41:K61)</f>
        <v>53435837.473000005</v>
      </c>
      <c r="L62"/>
      <c r="M62" s="61"/>
      <c r="N62" s="61"/>
    </row>
    <row r="63" spans="1:15">
      <c r="K63" s="52"/>
      <c r="L63"/>
      <c r="M63" s="61"/>
      <c r="N63" s="61"/>
    </row>
    <row r="64" spans="1:15">
      <c r="B64"/>
      <c r="C64"/>
      <c r="D64"/>
      <c r="E64"/>
      <c r="F64"/>
      <c r="G64"/>
      <c r="H64"/>
      <c r="I64"/>
      <c r="J64"/>
      <c r="K64"/>
      <c r="L64"/>
      <c r="M64"/>
      <c r="N64"/>
      <c r="O64"/>
    </row>
    <row r="65" spans="1:15" ht="18">
      <c r="B65" s="1237" t="str">
        <f>"Prepayments Account 165 - Balance @ 12/31/ "&amp;D67&amp;""</f>
        <v>Prepayments Account 165 - Balance @ 12/31/ 2024</v>
      </c>
      <c r="C65" s="1237"/>
      <c r="D65" s="1237"/>
      <c r="E65" s="1237"/>
      <c r="F65" s="1237"/>
      <c r="G65" s="1237"/>
      <c r="H65" s="1237"/>
      <c r="I65" s="1237"/>
      <c r="J65" s="1237"/>
      <c r="K65" s="67"/>
      <c r="L65" s="68"/>
      <c r="M65" s="61"/>
      <c r="N65"/>
      <c r="O65"/>
    </row>
    <row r="66" spans="1:15">
      <c r="B66" s="202"/>
      <c r="C66" s="203"/>
      <c r="D66" s="204"/>
      <c r="E66" s="7"/>
      <c r="G66" s="7" t="s">
        <v>88</v>
      </c>
      <c r="I66" s="5" t="s">
        <v>117</v>
      </c>
      <c r="J66" s="5" t="s">
        <v>117</v>
      </c>
      <c r="K66" s="5" t="s">
        <v>181</v>
      </c>
      <c r="L66"/>
      <c r="M66" s="61"/>
      <c r="N66"/>
      <c r="O66"/>
    </row>
    <row r="67" spans="1:15">
      <c r="B67" s="202"/>
      <c r="C67" s="205"/>
      <c r="D67" s="5" t="str">
        <f>""&amp;TCOS!L4-1</f>
        <v>2024</v>
      </c>
      <c r="E67" s="5" t="s">
        <v>532</v>
      </c>
      <c r="G67" s="5" t="s">
        <v>117</v>
      </c>
      <c r="I67" s="5" t="s">
        <v>525</v>
      </c>
      <c r="J67" s="5" t="s">
        <v>163</v>
      </c>
      <c r="K67" s="5" t="s">
        <v>182</v>
      </c>
      <c r="L67"/>
      <c r="M67" s="61"/>
      <c r="N67"/>
      <c r="O67"/>
    </row>
    <row r="68" spans="1:15">
      <c r="A68" s="58">
        <f>A61+1</f>
        <v>31</v>
      </c>
      <c r="B68" s="9" t="s">
        <v>91</v>
      </c>
      <c r="C68" s="9" t="s">
        <v>169</v>
      </c>
      <c r="D68" s="9" t="s">
        <v>89</v>
      </c>
      <c r="E68" s="9" t="s">
        <v>504</v>
      </c>
      <c r="G68" s="9" t="s">
        <v>526</v>
      </c>
      <c r="I68" s="9" t="s">
        <v>526</v>
      </c>
      <c r="J68" s="9" t="s">
        <v>526</v>
      </c>
      <c r="K68" s="9" t="s">
        <v>527</v>
      </c>
      <c r="L68" s="9" t="s">
        <v>40</v>
      </c>
      <c r="M68" s="61"/>
      <c r="N68"/>
      <c r="O68"/>
    </row>
    <row r="69" spans="1:15">
      <c r="B69" s="115"/>
      <c r="C69" s="117"/>
      <c r="D69" s="117"/>
      <c r="E69" s="117"/>
      <c r="G69" s="117"/>
      <c r="I69" s="117"/>
      <c r="J69" s="117"/>
      <c r="K69" s="117"/>
      <c r="L69"/>
      <c r="M69" s="61"/>
      <c r="N69"/>
      <c r="O69"/>
    </row>
    <row r="70" spans="1:15" ht="14.25">
      <c r="A70" s="58">
        <f>+A68+1</f>
        <v>32</v>
      </c>
      <c r="B70" s="951" t="s">
        <v>869</v>
      </c>
      <c r="C70" s="651" t="s">
        <v>870</v>
      </c>
      <c r="D70" s="652">
        <v>623020.68000000005</v>
      </c>
      <c r="E70" s="944">
        <f>+D70-K70</f>
        <v>0</v>
      </c>
      <c r="F70" s="945"/>
      <c r="G70" s="946"/>
      <c r="H70" s="945"/>
      <c r="I70" s="946">
        <f>D70</f>
        <v>623020.68000000005</v>
      </c>
      <c r="J70" s="946"/>
      <c r="K70" s="962">
        <f t="shared" ref="K70:K87" si="7">+G70+I70+J70</f>
        <v>623020.68000000005</v>
      </c>
      <c r="L70" t="s">
        <v>533</v>
      </c>
      <c r="M70" s="61"/>
      <c r="N70"/>
      <c r="O70"/>
    </row>
    <row r="71" spans="1:15" ht="14.25">
      <c r="A71" s="58">
        <f t="shared" ref="A71:A90" si="8">+A70+1</f>
        <v>33</v>
      </c>
      <c r="B71" s="952" t="s">
        <v>951</v>
      </c>
      <c r="C71" s="651" t="s">
        <v>871</v>
      </c>
      <c r="D71" s="652">
        <v>0</v>
      </c>
      <c r="E71" s="944">
        <f t="shared" ref="E71:E89" si="9">+D71-K71</f>
        <v>0</v>
      </c>
      <c r="F71" s="945"/>
      <c r="G71" s="946"/>
      <c r="H71" s="945"/>
      <c r="I71" s="946"/>
      <c r="J71" s="946"/>
      <c r="K71" s="962">
        <f t="shared" si="7"/>
        <v>0</v>
      </c>
      <c r="L71"/>
      <c r="M71" s="61"/>
      <c r="N71"/>
      <c r="O71"/>
    </row>
    <row r="72" spans="1:15" ht="14.25">
      <c r="A72" s="58">
        <f t="shared" si="8"/>
        <v>34</v>
      </c>
      <c r="B72" s="952" t="s">
        <v>1040</v>
      </c>
      <c r="C72" s="651" t="s">
        <v>871</v>
      </c>
      <c r="D72" s="652">
        <v>0</v>
      </c>
      <c r="E72" s="944">
        <f t="shared" si="9"/>
        <v>0</v>
      </c>
      <c r="F72" s="945"/>
      <c r="G72" s="946"/>
      <c r="H72" s="945"/>
      <c r="I72" s="946"/>
      <c r="J72" s="946"/>
      <c r="K72" s="962">
        <f t="shared" si="7"/>
        <v>0</v>
      </c>
      <c r="L72"/>
      <c r="M72" s="61"/>
      <c r="N72"/>
      <c r="O72"/>
    </row>
    <row r="73" spans="1:15" ht="14.25">
      <c r="A73" s="58">
        <f t="shared" si="8"/>
        <v>35</v>
      </c>
      <c r="B73" s="953" t="s">
        <v>1146</v>
      </c>
      <c r="C73" s="651" t="s">
        <v>871</v>
      </c>
      <c r="D73" s="652">
        <v>0</v>
      </c>
      <c r="E73" s="944">
        <f t="shared" si="9"/>
        <v>0</v>
      </c>
      <c r="F73" s="945"/>
      <c r="G73" s="946"/>
      <c r="H73" s="945"/>
      <c r="I73" s="946"/>
      <c r="J73" s="946"/>
      <c r="K73" s="962">
        <f t="shared" si="7"/>
        <v>0</v>
      </c>
      <c r="L73" t="s">
        <v>922</v>
      </c>
      <c r="M73" s="61"/>
      <c r="N73"/>
      <c r="O73"/>
    </row>
    <row r="74" spans="1:15" ht="14.25">
      <c r="A74" s="58">
        <f t="shared" si="8"/>
        <v>36</v>
      </c>
      <c r="B74" s="951" t="s">
        <v>1061</v>
      </c>
      <c r="C74" s="651" t="s">
        <v>891</v>
      </c>
      <c r="D74" s="652">
        <v>90947.44</v>
      </c>
      <c r="E74" s="944">
        <f t="shared" si="9"/>
        <v>90947.44</v>
      </c>
      <c r="F74" s="945"/>
      <c r="G74" s="946"/>
      <c r="H74" s="945"/>
      <c r="I74" s="946"/>
      <c r="J74" s="946"/>
      <c r="K74" s="962">
        <f t="shared" si="7"/>
        <v>0</v>
      </c>
      <c r="L74" t="s">
        <v>596</v>
      </c>
      <c r="M74" s="61"/>
      <c r="N74"/>
      <c r="O74"/>
    </row>
    <row r="75" spans="1:15" ht="14.25">
      <c r="A75" s="58">
        <f t="shared" si="8"/>
        <v>37</v>
      </c>
      <c r="B75" s="951" t="s">
        <v>892</v>
      </c>
      <c r="C75" s="651" t="s">
        <v>893</v>
      </c>
      <c r="D75" s="652">
        <v>105861.25</v>
      </c>
      <c r="E75" s="944">
        <f t="shared" si="9"/>
        <v>105861.25</v>
      </c>
      <c r="F75" s="945"/>
      <c r="G75" s="946"/>
      <c r="H75" s="945"/>
      <c r="I75" s="946"/>
      <c r="J75" s="946"/>
      <c r="K75" s="962">
        <f t="shared" si="7"/>
        <v>0</v>
      </c>
      <c r="L75" t="s">
        <v>927</v>
      </c>
      <c r="M75" s="61"/>
      <c r="N75"/>
      <c r="O75"/>
    </row>
    <row r="76" spans="1:15" ht="14.25">
      <c r="A76" s="58">
        <f t="shared" si="8"/>
        <v>38</v>
      </c>
      <c r="B76" s="951" t="s">
        <v>872</v>
      </c>
      <c r="C76" s="651" t="s">
        <v>873</v>
      </c>
      <c r="D76" s="652">
        <v>14166204.35</v>
      </c>
      <c r="E76" s="944">
        <f t="shared" si="9"/>
        <v>0</v>
      </c>
      <c r="F76" s="945"/>
      <c r="G76" s="946"/>
      <c r="H76" s="945"/>
      <c r="I76" s="946"/>
      <c r="J76" s="946">
        <f>D76</f>
        <v>14166204.35</v>
      </c>
      <c r="K76" s="962">
        <f t="shared" si="7"/>
        <v>14166204.35</v>
      </c>
      <c r="L76" s="208" t="s">
        <v>926</v>
      </c>
      <c r="M76" s="61"/>
      <c r="N76"/>
      <c r="O76"/>
    </row>
    <row r="77" spans="1:15" ht="14.25">
      <c r="A77" s="58">
        <f t="shared" si="8"/>
        <v>39</v>
      </c>
      <c r="B77" s="951" t="s">
        <v>953</v>
      </c>
      <c r="C77" s="651" t="s">
        <v>895</v>
      </c>
      <c r="D77" s="652">
        <v>0</v>
      </c>
      <c r="E77" s="944">
        <f t="shared" si="9"/>
        <v>0</v>
      </c>
      <c r="F77" s="945"/>
      <c r="G77" s="946"/>
      <c r="H77" s="945"/>
      <c r="I77" s="946"/>
      <c r="J77" s="946"/>
      <c r="K77" s="962">
        <f t="shared" si="7"/>
        <v>0</v>
      </c>
      <c r="L77" s="208" t="s">
        <v>116</v>
      </c>
      <c r="M77" s="61"/>
      <c r="N77"/>
      <c r="O77"/>
    </row>
    <row r="78" spans="1:15" ht="14.25">
      <c r="A78" s="58">
        <f t="shared" si="8"/>
        <v>40</v>
      </c>
      <c r="B78" s="953" t="s">
        <v>1062</v>
      </c>
      <c r="C78" s="651" t="s">
        <v>895</v>
      </c>
      <c r="D78" s="652">
        <v>0</v>
      </c>
      <c r="E78" s="944">
        <f t="shared" si="9"/>
        <v>0</v>
      </c>
      <c r="F78" s="945"/>
      <c r="G78" s="946"/>
      <c r="H78" s="945"/>
      <c r="I78" s="946"/>
      <c r="J78" s="946"/>
      <c r="K78" s="962">
        <f t="shared" si="7"/>
        <v>0</v>
      </c>
      <c r="L78"/>
      <c r="M78" s="61"/>
      <c r="N78"/>
      <c r="O78"/>
    </row>
    <row r="79" spans="1:15" ht="14.25">
      <c r="A79" s="58">
        <f t="shared" si="8"/>
        <v>41</v>
      </c>
      <c r="B79" s="955" t="s">
        <v>1165</v>
      </c>
      <c r="C79" s="651" t="s">
        <v>895</v>
      </c>
      <c r="D79" s="652">
        <v>327284</v>
      </c>
      <c r="E79" s="944">
        <f t="shared" si="9"/>
        <v>327284</v>
      </c>
      <c r="F79" s="945"/>
      <c r="G79" s="946"/>
      <c r="H79" s="945"/>
      <c r="I79" s="946"/>
      <c r="J79" s="946"/>
      <c r="K79" s="962">
        <f t="shared" si="7"/>
        <v>0</v>
      </c>
      <c r="L79" t="s">
        <v>597</v>
      </c>
      <c r="M79" s="61"/>
      <c r="N79"/>
      <c r="O79"/>
    </row>
    <row r="80" spans="1:15" ht="14.25">
      <c r="A80" s="58">
        <f t="shared" si="8"/>
        <v>42</v>
      </c>
      <c r="B80" s="953" t="s">
        <v>952</v>
      </c>
      <c r="C80" s="651" t="s">
        <v>894</v>
      </c>
      <c r="D80" s="652">
        <v>0</v>
      </c>
      <c r="E80" s="944">
        <f t="shared" si="9"/>
        <v>0</v>
      </c>
      <c r="F80" s="945"/>
      <c r="G80" s="946"/>
      <c r="H80" s="945"/>
      <c r="I80" s="946"/>
      <c r="J80" s="946"/>
      <c r="K80" s="962">
        <f t="shared" si="7"/>
        <v>0</v>
      </c>
      <c r="L80"/>
      <c r="M80" s="61"/>
      <c r="N80"/>
      <c r="O80"/>
    </row>
    <row r="81" spans="1:15" ht="14.25">
      <c r="A81" s="58">
        <f t="shared" si="8"/>
        <v>43</v>
      </c>
      <c r="B81" s="954" t="s">
        <v>1041</v>
      </c>
      <c r="C81" s="651" t="s">
        <v>894</v>
      </c>
      <c r="D81" s="652">
        <v>0</v>
      </c>
      <c r="E81" s="944">
        <f t="shared" si="9"/>
        <v>0</v>
      </c>
      <c r="F81" s="945"/>
      <c r="G81" s="946"/>
      <c r="H81" s="945"/>
      <c r="I81" s="946"/>
      <c r="J81" s="946"/>
      <c r="K81" s="962">
        <f t="shared" si="7"/>
        <v>0</v>
      </c>
      <c r="L81"/>
      <c r="M81" s="61"/>
      <c r="N81"/>
      <c r="O81"/>
    </row>
    <row r="82" spans="1:15" ht="14.25">
      <c r="A82" s="58">
        <f t="shared" si="8"/>
        <v>44</v>
      </c>
      <c r="B82" s="952">
        <v>165001224</v>
      </c>
      <c r="C82" s="651" t="s">
        <v>894</v>
      </c>
      <c r="D82" s="652">
        <v>70340</v>
      </c>
      <c r="E82" s="944">
        <f t="shared" si="9"/>
        <v>70340</v>
      </c>
      <c r="F82" s="945"/>
      <c r="G82" s="946"/>
      <c r="H82" s="945"/>
      <c r="I82" s="946"/>
      <c r="J82" s="946"/>
      <c r="K82" s="962">
        <f t="shared" si="7"/>
        <v>0</v>
      </c>
      <c r="L82" t="s">
        <v>924</v>
      </c>
      <c r="M82" s="61"/>
      <c r="N82"/>
      <c r="O82"/>
    </row>
    <row r="83" spans="1:15" ht="14.25">
      <c r="A83" s="58">
        <f t="shared" si="8"/>
        <v>45</v>
      </c>
      <c r="B83" s="952" t="s">
        <v>874</v>
      </c>
      <c r="C83" s="651" t="s">
        <v>875</v>
      </c>
      <c r="D83" s="652">
        <v>-14166204.35</v>
      </c>
      <c r="E83" s="944">
        <f t="shared" si="9"/>
        <v>-14166204.35</v>
      </c>
      <c r="F83" s="945"/>
      <c r="G83" s="946"/>
      <c r="H83" s="945"/>
      <c r="I83" s="946"/>
      <c r="J83" s="946"/>
      <c r="K83" s="962">
        <f t="shared" si="7"/>
        <v>0</v>
      </c>
      <c r="L83" t="s">
        <v>925</v>
      </c>
      <c r="M83" s="61"/>
      <c r="N83"/>
      <c r="O83"/>
    </row>
    <row r="84" spans="1:15" ht="14.25">
      <c r="A84" s="58">
        <f t="shared" si="8"/>
        <v>46</v>
      </c>
      <c r="B84" s="952" t="s">
        <v>876</v>
      </c>
      <c r="C84" s="651" t="s">
        <v>877</v>
      </c>
      <c r="D84" s="652">
        <v>524964.76300000004</v>
      </c>
      <c r="E84" s="944">
        <f t="shared" si="9"/>
        <v>0</v>
      </c>
      <c r="F84" s="945"/>
      <c r="G84" s="946"/>
      <c r="H84" s="945"/>
      <c r="I84" s="946">
        <f>D84</f>
        <v>524964.76300000004</v>
      </c>
      <c r="J84" s="946"/>
      <c r="K84" s="962">
        <f t="shared" si="7"/>
        <v>524964.76300000004</v>
      </c>
      <c r="L84" t="s">
        <v>533</v>
      </c>
      <c r="M84" s="61"/>
      <c r="N84"/>
      <c r="O84"/>
    </row>
    <row r="85" spans="1:15" ht="14.25">
      <c r="A85" s="58">
        <f t="shared" si="8"/>
        <v>47</v>
      </c>
      <c r="B85" s="952" t="s">
        <v>896</v>
      </c>
      <c r="C85" s="651" t="s">
        <v>897</v>
      </c>
      <c r="D85" s="652">
        <v>22779.600000000002</v>
      </c>
      <c r="E85" s="944">
        <f t="shared" si="9"/>
        <v>22779.600000000002</v>
      </c>
      <c r="F85" s="945"/>
      <c r="G85" s="946"/>
      <c r="H85" s="945"/>
      <c r="I85" s="946"/>
      <c r="J85" s="946"/>
      <c r="K85" s="962">
        <f t="shared" si="7"/>
        <v>0</v>
      </c>
      <c r="L85" t="s">
        <v>923</v>
      </c>
      <c r="M85" s="61"/>
      <c r="N85"/>
      <c r="O85"/>
    </row>
    <row r="86" spans="1:15" ht="14.25">
      <c r="A86" s="58">
        <f t="shared" si="8"/>
        <v>48</v>
      </c>
      <c r="B86" s="952" t="s">
        <v>1063</v>
      </c>
      <c r="C86" s="651" t="s">
        <v>1064</v>
      </c>
      <c r="D86" s="652">
        <v>0</v>
      </c>
      <c r="E86" s="944">
        <f t="shared" si="9"/>
        <v>0</v>
      </c>
      <c r="F86" s="945"/>
      <c r="G86" s="946"/>
      <c r="H86" s="945"/>
      <c r="I86" s="946"/>
      <c r="J86" s="946"/>
      <c r="K86" s="962">
        <f t="shared" si="7"/>
        <v>0</v>
      </c>
      <c r="L86"/>
      <c r="M86" s="61"/>
      <c r="N86"/>
      <c r="O86"/>
    </row>
    <row r="87" spans="1:15" ht="14.25">
      <c r="A87" s="58">
        <f t="shared" si="8"/>
        <v>49</v>
      </c>
      <c r="B87" s="653" t="s">
        <v>1065</v>
      </c>
      <c r="C87" s="651" t="s">
        <v>1066</v>
      </c>
      <c r="D87" s="652">
        <v>33105797.190000001</v>
      </c>
      <c r="E87" s="944">
        <f t="shared" si="9"/>
        <v>0</v>
      </c>
      <c r="F87" s="945"/>
      <c r="G87" s="946"/>
      <c r="H87" s="945"/>
      <c r="I87" s="946"/>
      <c r="J87" s="946">
        <f>D87</f>
        <v>33105797.190000001</v>
      </c>
      <c r="K87" s="962">
        <f t="shared" si="7"/>
        <v>33105797.190000001</v>
      </c>
      <c r="L87" t="s">
        <v>598</v>
      </c>
      <c r="M87" s="61"/>
      <c r="N87"/>
      <c r="O87"/>
    </row>
    <row r="88" spans="1:15" ht="14.25">
      <c r="A88" s="58">
        <f t="shared" si="8"/>
        <v>50</v>
      </c>
      <c r="B88" s="952" t="s">
        <v>1067</v>
      </c>
      <c r="C88" s="651" t="s">
        <v>1068</v>
      </c>
      <c r="D88" s="652">
        <v>-33105797.190000001</v>
      </c>
      <c r="E88" s="944">
        <f t="shared" si="9"/>
        <v>-33105797.190000001</v>
      </c>
      <c r="F88" s="945"/>
      <c r="G88" s="946"/>
      <c r="H88" s="945"/>
      <c r="I88" s="946"/>
      <c r="J88" s="946"/>
      <c r="K88" s="946"/>
      <c r="L88" t="s">
        <v>31</v>
      </c>
      <c r="M88" s="61"/>
      <c r="N88"/>
      <c r="O88"/>
    </row>
    <row r="89" spans="1:15" ht="14.25">
      <c r="A89" s="58">
        <f t="shared" si="8"/>
        <v>51</v>
      </c>
      <c r="B89" s="653" t="s">
        <v>1151</v>
      </c>
      <c r="C89" s="651" t="s">
        <v>1152</v>
      </c>
      <c r="D89" s="652">
        <v>476592.60000000003</v>
      </c>
      <c r="E89" s="944">
        <f t="shared" si="9"/>
        <v>476592.60000000003</v>
      </c>
      <c r="F89" s="945"/>
      <c r="G89" s="946"/>
      <c r="H89" s="945"/>
      <c r="I89" s="946"/>
      <c r="J89" s="946"/>
      <c r="K89" s="962">
        <f t="shared" ref="K89" si="10">+G89+I89+J89</f>
        <v>0</v>
      </c>
      <c r="L89"/>
      <c r="M89" s="61"/>
      <c r="N89"/>
      <c r="O89"/>
    </row>
    <row r="90" spans="1:15" ht="15" thickBot="1">
      <c r="A90" s="58">
        <f t="shared" si="8"/>
        <v>52</v>
      </c>
      <c r="B90" s="653"/>
      <c r="C90" s="651"/>
      <c r="D90" s="652"/>
      <c r="E90" s="946"/>
      <c r="F90" s="945"/>
      <c r="G90" s="946"/>
      <c r="H90" s="945"/>
      <c r="I90" s="946"/>
      <c r="J90" s="946"/>
      <c r="K90" s="946"/>
      <c r="L90"/>
      <c r="M90" s="61"/>
      <c r="N90"/>
      <c r="O90"/>
    </row>
    <row r="91" spans="1:15" ht="14.25">
      <c r="B91" s="115"/>
      <c r="C91" s="25" t="s">
        <v>385</v>
      </c>
      <c r="D91" s="654">
        <f>IF(SUM(D70:D90)=0,"",SUM(D70:D90))</f>
        <v>2241790.3329999992</v>
      </c>
      <c r="E91" s="947">
        <f>IF(SUM(E70:E90)=0,"",SUM(E70:E90))</f>
        <v>-46178196.649999999</v>
      </c>
      <c r="F91" s="945"/>
      <c r="G91" s="654" t="str">
        <f>IF(SUM(G70:G90)=0,"",SUM(G70:G90))</f>
        <v/>
      </c>
      <c r="H91" s="945"/>
      <c r="I91" s="654">
        <f>IF(SUM(I70:I90)=0,"",SUM(I70:I90))</f>
        <v>1147985.443</v>
      </c>
      <c r="J91" s="654">
        <f>IF(SUM(J70:J90)=0,"",SUM(J70:J90))</f>
        <v>47272001.539999999</v>
      </c>
      <c r="K91" s="654">
        <f>IF(SUM(K70:K90)=0,"",SUM(K70:K90))</f>
        <v>48419986.983000003</v>
      </c>
      <c r="L91"/>
      <c r="M91" s="61"/>
      <c r="N91"/>
      <c r="O91"/>
    </row>
    <row r="92" spans="1:15">
      <c r="B92" s="58"/>
      <c r="C92"/>
      <c r="D92"/>
      <c r="E92"/>
      <c r="F92"/>
      <c r="G92"/>
      <c r="H92"/>
      <c r="I92"/>
      <c r="J92"/>
      <c r="K92"/>
      <c r="L92"/>
      <c r="M92"/>
      <c r="N92"/>
      <c r="O92"/>
    </row>
    <row r="93" spans="1:15" ht="18.75" customHeight="1">
      <c r="A93" s="58" t="s">
        <v>632</v>
      </c>
      <c r="B93" s="1216" t="s">
        <v>824</v>
      </c>
      <c r="C93" s="1216"/>
      <c r="D93" s="1216"/>
      <c r="E93" s="1216"/>
      <c r="F93" s="1216"/>
      <c r="G93" s="1216"/>
      <c r="H93" s="1216"/>
      <c r="I93" s="1216"/>
      <c r="J93" s="1216"/>
      <c r="K93" s="1216"/>
      <c r="L93" s="1216"/>
      <c r="M93"/>
      <c r="N93"/>
      <c r="O93"/>
    </row>
    <row r="94" spans="1:15" ht="18.75" customHeight="1">
      <c r="A94" s="4"/>
      <c r="B94" s="1216"/>
      <c r="C94" s="1216"/>
      <c r="D94" s="1216"/>
      <c r="E94" s="1216"/>
      <c r="F94" s="1216"/>
      <c r="G94" s="1216"/>
      <c r="H94" s="1216"/>
      <c r="I94" s="1216"/>
      <c r="J94" s="1216"/>
      <c r="K94" s="1216"/>
      <c r="L94" s="1216"/>
      <c r="M94"/>
      <c r="N94"/>
      <c r="O94"/>
    </row>
    <row r="95" spans="1:15" ht="18">
      <c r="E95" s="694"/>
      <c r="F95" s="694"/>
      <c r="G95" s="694"/>
      <c r="H95" s="694"/>
      <c r="I95" s="694"/>
      <c r="J95" s="694"/>
      <c r="K95" s="694"/>
      <c r="L95" s="68"/>
      <c r="M95" s="61"/>
      <c r="N95" s="61"/>
    </row>
  </sheetData>
  <mergeCells count="12">
    <mergeCell ref="B93:L94"/>
    <mergeCell ref="B10:K10"/>
    <mergeCell ref="A3:L3"/>
    <mergeCell ref="A4:L4"/>
    <mergeCell ref="A5:L5"/>
    <mergeCell ref="A6:L6"/>
    <mergeCell ref="B65:J65"/>
    <mergeCell ref="B26:K26"/>
    <mergeCell ref="E12:E13"/>
    <mergeCell ref="I12:I13"/>
    <mergeCell ref="B36:J36"/>
    <mergeCell ref="G12:G13"/>
  </mergeCells>
  <phoneticPr fontId="6" type="noConversion"/>
  <pageMargins left="1.08" right="0.75" top="1" bottom="0.41" header="0.86" footer="0.27"/>
  <pageSetup scale="40" orientation="landscape" r:id="rId1"/>
  <headerFooter alignWithMargins="0">
    <oddHeader>&amp;R&amp;"Arial,Bold"Formula Rate
&amp;A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O28"/>
  <sheetViews>
    <sheetView tabSelected="1" view="pageBreakPreview" zoomScaleNormal="100" zoomScaleSheetLayoutView="100" workbookViewId="0">
      <selection activeCell="D9" sqref="D9"/>
    </sheetView>
  </sheetViews>
  <sheetFormatPr defaultColWidth="8.85546875" defaultRowHeight="12.75"/>
  <cols>
    <col min="1" max="1" width="9.42578125" style="1" bestFit="1" customWidth="1"/>
    <col min="2" max="2" width="65.140625" bestFit="1" customWidth="1"/>
    <col min="3" max="3" width="12.5703125" bestFit="1" customWidth="1"/>
    <col min="4" max="4" width="1.5703125" customWidth="1"/>
    <col min="5" max="5" width="15" bestFit="1" customWidth="1"/>
  </cols>
  <sheetData>
    <row r="1" spans="1:15" ht="15.75">
      <c r="A1" s="693" t="s">
        <v>116</v>
      </c>
    </row>
    <row r="2" spans="1:15" ht="15.75">
      <c r="A2" s="693" t="s">
        <v>116</v>
      </c>
    </row>
    <row r="3" spans="1:15" ht="15">
      <c r="A3" s="1210" t="str">
        <f>+'WS C  - Working Capital'!A3:L3</f>
        <v>AEP East Companies</v>
      </c>
      <c r="B3" s="1210"/>
      <c r="C3" s="1210"/>
      <c r="D3" s="1210"/>
      <c r="E3" s="1210"/>
      <c r="F3" s="30"/>
      <c r="G3" s="30"/>
      <c r="H3" s="30"/>
      <c r="I3" s="30"/>
      <c r="J3" s="30"/>
      <c r="K3" s="30"/>
      <c r="L3" s="30"/>
      <c r="M3" s="30"/>
      <c r="N3" s="30"/>
      <c r="O3" s="30"/>
    </row>
    <row r="4" spans="1:15" ht="15">
      <c r="A4" s="1211" t="str">
        <f>"Cost of Service Formula Rate Using Actual/Projected FF1 Balances"</f>
        <v>Cost of Service Formula Rate Using Actual/Projected FF1 Balances</v>
      </c>
      <c r="B4" s="1211"/>
      <c r="C4" s="1211"/>
      <c r="D4" s="1211"/>
      <c r="E4" s="1211"/>
      <c r="F4" s="77"/>
      <c r="G4" s="77"/>
      <c r="H4" s="77"/>
      <c r="I4" s="77"/>
      <c r="J4" s="77"/>
      <c r="K4" s="77"/>
      <c r="L4" s="77"/>
      <c r="M4" s="78"/>
      <c r="N4" s="78"/>
      <c r="O4" s="78"/>
    </row>
    <row r="5" spans="1:15" ht="15">
      <c r="A5" s="1211" t="s">
        <v>229</v>
      </c>
      <c r="B5" s="1211"/>
      <c r="C5" s="1211"/>
      <c r="D5" s="1211"/>
      <c r="E5" s="1211"/>
      <c r="F5" s="77"/>
      <c r="G5" s="77"/>
      <c r="H5" s="77"/>
      <c r="I5" s="77"/>
      <c r="J5" s="77"/>
      <c r="K5" s="77"/>
      <c r="L5" s="77"/>
      <c r="M5" s="77"/>
      <c r="N5" s="77"/>
      <c r="O5" s="77"/>
    </row>
    <row r="6" spans="1:15" ht="15">
      <c r="A6" s="1219" t="str">
        <f>TCOS!F9</f>
        <v>KENTUCKY POWER COMPANY</v>
      </c>
      <c r="B6" s="1219"/>
      <c r="C6" s="1219"/>
      <c r="D6" s="1219"/>
      <c r="E6" s="1219"/>
      <c r="F6" s="3"/>
      <c r="G6" s="3"/>
      <c r="H6" s="3"/>
      <c r="I6" s="3"/>
      <c r="J6" s="3"/>
      <c r="K6" s="3"/>
      <c r="L6" s="3"/>
      <c r="M6" s="3"/>
      <c r="N6" s="3"/>
      <c r="O6" s="3"/>
    </row>
    <row r="8" spans="1:15">
      <c r="A8" s="140" t="s">
        <v>171</v>
      </c>
      <c r="B8" s="141" t="s">
        <v>164</v>
      </c>
      <c r="C8" s="141" t="s">
        <v>165</v>
      </c>
    </row>
    <row r="9" spans="1:15">
      <c r="A9" s="140" t="s">
        <v>107</v>
      </c>
      <c r="B9" s="140" t="s">
        <v>169</v>
      </c>
      <c r="C9" s="140">
        <f>+TCOS!L4</f>
        <v>2025</v>
      </c>
    </row>
    <row r="10" spans="1:15">
      <c r="B10" s="208"/>
      <c r="C10" s="141"/>
    </row>
    <row r="11" spans="1:15">
      <c r="A11" s="1">
        <v>1</v>
      </c>
      <c r="B11" s="854" t="str">
        <f>"Net Funds from IPP Customers 12/31/"&amp;TCOS!L4-1&amp;" ("&amp;TCOS!L4&amp;" FORM 1, P269)"</f>
        <v>Net Funds from IPP Customers 12/31/2024 (2025 FORM 1, P269)</v>
      </c>
      <c r="C11" s="650">
        <v>0</v>
      </c>
    </row>
    <row r="12" spans="1:15">
      <c r="B12" s="4"/>
      <c r="C12" s="112"/>
    </row>
    <row r="13" spans="1:15">
      <c r="A13" s="1">
        <v>2</v>
      </c>
      <c r="B13" s="854" t="s">
        <v>72</v>
      </c>
      <c r="C13" s="650">
        <v>0</v>
      </c>
    </row>
    <row r="14" spans="1:15">
      <c r="B14" s="854"/>
      <c r="C14" s="112"/>
    </row>
    <row r="15" spans="1:15">
      <c r="A15" s="1">
        <f>+A13+1</f>
        <v>3</v>
      </c>
      <c r="B15" s="854" t="s">
        <v>73</v>
      </c>
      <c r="C15" s="650">
        <v>0</v>
      </c>
    </row>
    <row r="16" spans="1:15">
      <c r="B16" s="854"/>
      <c r="C16" s="112"/>
    </row>
    <row r="17" spans="1:4">
      <c r="A17" s="1">
        <f>+A15+1</f>
        <v>4</v>
      </c>
      <c r="B17" s="855" t="s">
        <v>230</v>
      </c>
      <c r="C17" s="112"/>
    </row>
    <row r="18" spans="1:4">
      <c r="A18" s="1">
        <f>+A17+1</f>
        <v>5</v>
      </c>
      <c r="B18" s="854" t="s">
        <v>74</v>
      </c>
      <c r="C18" s="650">
        <v>0</v>
      </c>
    </row>
    <row r="19" spans="1:4">
      <c r="A19" s="1">
        <f>+A18+1</f>
        <v>6</v>
      </c>
      <c r="B19" s="81" t="s">
        <v>116</v>
      </c>
      <c r="C19" s="655">
        <v>0</v>
      </c>
    </row>
    <row r="20" spans="1:4">
      <c r="B20" s="4"/>
      <c r="C20" s="656"/>
    </row>
    <row r="21" spans="1:4">
      <c r="A21" s="1">
        <f>+A19+1</f>
        <v>7</v>
      </c>
      <c r="B21" s="854" t="str">
        <f>"Net Funds from IPP Customers 12/31/"&amp;TCOS!L4&amp;" ("&amp;TCOS!L4&amp;" FORM 1, P269)"</f>
        <v>Net Funds from IPP Customers 12/31/2025 (2025 FORM 1, P269)</v>
      </c>
      <c r="C21" s="650">
        <f>+C11+C13+C15+C18+C19</f>
        <v>0</v>
      </c>
      <c r="D21" s="400"/>
    </row>
    <row r="22" spans="1:4">
      <c r="B22" s="4"/>
      <c r="C22" s="112"/>
    </row>
    <row r="23" spans="1:4">
      <c r="A23" s="1">
        <f>+A21+1</f>
        <v>8</v>
      </c>
      <c r="B23" s="854" t="str">
        <f>"Average Balance for Year as Indicated in Column B ((ln "&amp;A11&amp;" + ln "&amp;A21&amp;")/2)"</f>
        <v>Average Balance for Year as Indicated in Column B ((ln 1 + ln 7)/2)</v>
      </c>
      <c r="C23" s="401">
        <f>AVERAGE(C21,C11)</f>
        <v>0</v>
      </c>
    </row>
    <row r="24" spans="1:4">
      <c r="B24" s="4"/>
    </row>
    <row r="25" spans="1:4">
      <c r="B25" s="72"/>
      <c r="C25" s="402"/>
    </row>
    <row r="26" spans="1:4" ht="15">
      <c r="A26" s="265" t="s">
        <v>501</v>
      </c>
      <c r="B26" s="1204" t="str">
        <f>"On this worksheet Company Records refers to  "&amp;A6&amp;"'s general ledger."</f>
        <v>On this worksheet Company Records refers to  KENTUCKY POWER COMPANY's general ledger.</v>
      </c>
    </row>
    <row r="27" spans="1:4">
      <c r="B27" s="1198"/>
    </row>
    <row r="28" spans="1:4">
      <c r="B28" s="4"/>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jczNjg5PC9Vc2VyTmFtZT48RGF0ZVRpbWU+My8yNS8yMDIyIDU6NDc6MzYgUE08L0RhdGVUaW1lPjxMYWJlbFN0cmluZz5BRVAgSW50ZXJuYWw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66E5B717-A952-4053-9031-3AC6450B25A9}">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6861DEDD-6A16-4345-B9DC-7DE539961A8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7</vt:i4>
      </vt:variant>
    </vt:vector>
  </HeadingPairs>
  <TitlesOfParts>
    <vt:vector size="36" baseType="lpstr">
      <vt:lpstr>TCOS</vt:lpstr>
      <vt:lpstr>WS A - RB Support</vt:lpstr>
      <vt:lpstr>WS B ADIT &amp; ITC</vt:lpstr>
      <vt:lpstr>WS B-1 - Actual Stmt. AF</vt:lpstr>
      <vt:lpstr>WS B-2 - Actual Stmt. AG</vt:lpstr>
      <vt:lpstr>WS B-3</vt:lpstr>
      <vt:lpstr>WS B-3-A</vt:lpstr>
      <vt:lpstr>WS C  - Working Capital</vt:lpstr>
      <vt:lpstr>WS D IPP Credits</vt:lpstr>
      <vt:lpstr>WS E Rev Credits</vt:lpstr>
      <vt:lpstr>WS F Misc Exp</vt:lpstr>
      <vt:lpstr>WS G  State Tax Rate</vt:lpstr>
      <vt:lpstr>WS H Other Taxes</vt:lpstr>
      <vt:lpstr>WS H-1-Detail of Tax Amts</vt:lpstr>
      <vt:lpstr>WS I Reserved</vt:lpstr>
      <vt:lpstr>WS J PROJECTED RTEP RR</vt:lpstr>
      <vt:lpstr>WS K TRUE-UP RTEP RR</vt:lpstr>
      <vt:lpstr>WS L Reserved</vt:lpstr>
      <vt:lpstr>WS M - Cost of Capital</vt:lpstr>
      <vt:lpstr>WS N - Sale of Plant Held</vt:lpstr>
      <vt:lpstr>WS O - PBOP</vt:lpstr>
      <vt:lpstr>APCo - WS P Dep. Rates</vt:lpstr>
      <vt:lpstr>IMC - WS P Dep. Rates</vt:lpstr>
      <vt:lpstr>KGP - WS P Dep. Rates</vt:lpstr>
      <vt:lpstr>KPC - WS P Dep. Rates</vt:lpstr>
      <vt:lpstr>OPC - WS P Dep. Rates</vt:lpstr>
      <vt:lpstr>WPC-WS P Dep. Rates</vt:lpstr>
      <vt:lpstr>KPCO WS Q Interest</vt:lpstr>
      <vt:lpstr>KPCO WS Q Interest (2)</vt:lpstr>
      <vt:lpstr>TCOS!Print_Area</vt:lpstr>
      <vt:lpstr>'WS B ADIT &amp; ITC'!Print_Area</vt:lpstr>
      <vt:lpstr>'WS B-2 - Actual Stmt. AG'!Print_Area</vt:lpstr>
      <vt:lpstr>'WS B-3'!Print_Area</vt:lpstr>
      <vt:lpstr>'WS B-3-A'!Print_Area</vt:lpstr>
      <vt:lpstr>'WS H-1-Detail of Tax Amts'!Print_Area</vt:lpstr>
      <vt:lpstr>'WS O - PBOP'!Print_Area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2026-05-22T11:31:44Z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433527c4-8458-4b0e-b49b-6fb06676c90a</vt:lpwstr>
  </property>
  <property fmtid="{D5CDD505-2E9C-101B-9397-08002B2CF9AE}" pid="3" name="bjSaver">
    <vt:lpwstr>HTegTYUHA5Eno747PWutbmINAXeRHZsu</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ClsUserRVM">
    <vt:lpwstr>[]</vt:lpwstr>
  </property>
  <property fmtid="{D5CDD505-2E9C-101B-9397-08002B2CF9AE}" pid="7" name="bjLabelHistoryID">
    <vt:lpwstr>{66E5B717-A952-4053-9031-3AC6450B25A9}</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2" name="bjDocumentLabelXML-0">
    <vt:lpwstr>ames.com/2008/01/sie/internal/label"&gt;&lt;element uid="50c31824-0780-4910-87d1-eaaffd182d42" value="" /&gt;&lt;/sisl&gt;</vt:lpwstr>
  </property>
</Properties>
</file>